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CP/"/>
    </mc:Choice>
  </mc:AlternateContent>
  <xr:revisionPtr revIDLastSave="118" documentId="8_{988C48CA-5110-46C9-8966-D838E63D2483}" xr6:coauthVersionLast="47" xr6:coauthVersionMax="47" xr10:uidLastSave="{8060E059-9758-4220-9A1D-162BDA89E562}"/>
  <bookViews>
    <workbookView xWindow="-108" yWindow="-108" windowWidth="23256" windowHeight="12456" tabRatio="308" xr2:uid="{BFA72C83-4EBB-4784-B75D-DFD52326BBBB}"/>
  </bookViews>
  <sheets>
    <sheet name="April"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 localSheetId="0">'[1]Sales Budget'!#REF!</definedName>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 localSheetId="0">#REF!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 localSheetId="0">[7]Sheet1!#REF!</definedName>
    <definedName name="_DAT10">[7]Sheet1!#REF!</definedName>
    <definedName name="_DAT11" localSheetId="0">[7]Sheet1!#REF!</definedName>
    <definedName name="_DAT11">[7]Sheet1!#REF!</definedName>
    <definedName name="_DAT12" localSheetId="0">[7]Sheet1!#REF!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 localSheetId="0">[7]Sheet1!#REF!</definedName>
    <definedName name="_DAT8">[7]Sheet1!#REF!</definedName>
    <definedName name="_DAT9" localSheetId="0">[7]Sheet1!#REF!</definedName>
    <definedName name="_DAT9">[7]Sheet1!#REF!</definedName>
    <definedName name="_dec1">'[6]BUD-D.XLS'!$DH$2:$DQ$49</definedName>
    <definedName name="_ert">[9]TB!$B$3:$B$109</definedName>
    <definedName name="_Feb2007" localSheetId="0">#REF!</definedName>
    <definedName name="_Feb2007">#REF!</definedName>
    <definedName name="_Feb2008">#REF!</definedName>
    <definedName name="_Fill" hidden="1">[10]Sheet1!$CE$85:$CE$204</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 localSheetId="0">#REF!</definedName>
    <definedName name="_ran1">#REF!</definedName>
    <definedName name="_ran3" localSheetId="0">#REF!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 localSheetId="0">[14]Article!#REF!</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 localSheetId="0">[14]Article!#REF!</definedName>
    <definedName name="AUST">[14]Article!#REF!</definedName>
    <definedName name="austo">#REF!</definedName>
    <definedName name="B" localSheetId="0">[28]Sheet2!#REF!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 localSheetId="0">[14]Article!#REF!</definedName>
    <definedName name="Baha">[14]Article!#REF!</definedName>
    <definedName name="BAL">[18]tb310310!$O$2:$O$185</definedName>
    <definedName name="Balance_Sheet">#REF!</definedName>
    <definedName name="bang" localSheetId="0">[14]Article!#REF!</definedName>
    <definedName name="bang">[14]Article!#REF!</definedName>
    <definedName name="bbb">[22]BS!$H$13:$H$16,[22]BS!$J$13:$J$16,[22]BS!$H$19,[22]BS!$J$19,[22]BS!$H$21,[22]BS!$J$21,[22]BS!$H$23,[22]BS!$J$23,[22]BS!$H$30:$H$33,[22]BS!$J$30:$J$33,[22]BS!$H$36,[22]BS!$J$36,[22]BS!$H$38,[22]BS!$J$38,[22]BS!$H$41:$H$45,[22]BS!$J$41:$J$45</definedName>
    <definedName name="Beg_Bal">#REF!</definedName>
    <definedName name="BHRS" localSheetId="0">[29]Cap!#REF!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 localSheetId="0">[29]Cap!#REF!</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 localSheetId="0">[14]Article!#REF!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 localSheetId="0">#REF!</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 localSheetId="0">'[38]Rate-Jan'!#REF!</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 localSheetId="0">[8]Sheet1!#REF!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 localSheetId="0">[14]Article!#REF!</definedName>
    <definedName name="DU">[14]Article!#REF!</definedName>
    <definedName name="DUB">#REF!</definedName>
    <definedName name="DUBA" localSheetId="0">[14]Article!#REF!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 localSheetId="0">[49]Sea!#REF!</definedName>
    <definedName name="EARNINGS_JAN">[49]Sea!#REF!</definedName>
    <definedName name="EARNINGS_JUL" localSheetId="0">[49]Sea!#REF!</definedName>
    <definedName name="EARNINGS_JUL">[49]Sea!#REF!</definedName>
    <definedName name="EARNINGS_JUN">#REF!</definedName>
    <definedName name="EARNINGS_MAR" localSheetId="0">[49]Sea!#REF!</definedName>
    <definedName name="EARNINGS_MAR">[49]Sea!#REF!</definedName>
    <definedName name="EARNINGS_MAY" localSheetId="0">[49]Sea!#REF!</definedName>
    <definedName name="EARNINGS_MAY">[49]Sea!#REF!</definedName>
    <definedName name="EARNINGS_MONTHLY">[49]Sea!#REF!</definedName>
    <definedName name="EARNINGS_NOV">[49]Sea!#REF!</definedName>
    <definedName name="EARNINGS_OCT">#REF!</definedName>
    <definedName name="EARNINGS_SEP" localSheetId="0">[49]Sea!#REF!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dhfn">#REF!</definedName>
    <definedName name="fghgfhrw">'[47]BUD-D.XLS'!$AP$2:$AY$49</definedName>
    <definedName name="fghyt">'[47]BUD-D.XLS'!$V$2:$AE$49</definedName>
    <definedName name="fin">#REF!</definedName>
    <definedName name="Finance">#REF!</definedName>
    <definedName name="FRAN" localSheetId="0">[14]Article!#REF!</definedName>
    <definedName name="FRAN">[14]Article!#REF!</definedName>
    <definedName name="FS_FP_Data">[50]FS_First_Pass!$D$6:$V$1571</definedName>
    <definedName name="fsdf" localSheetId="0">[14]STOCKS!#REF!</definedName>
    <definedName name="fsdf">[14]STOCKS!#REF!</definedName>
    <definedName name="Full_Print">#REF!</definedName>
    <definedName name="FxRateCube">#REF!</definedName>
    <definedName name="G" localSheetId="0">[28]Sheet2!#REF!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 localSheetId="0">'[29]Sales Budget'!#REF!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 localSheetId="0">[14]Article!#REF!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 localSheetId="0">[14]Article!#REF!</definedName>
    <definedName name="JOC">[14]Article!#REF!</definedName>
    <definedName name="JOCE" localSheetId="0">[14]Article!#REF!</definedName>
    <definedName name="JOCE">[14]Article!#REF!</definedName>
    <definedName name="jr" localSheetId="0">[14]STOCKS!#REF!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 localSheetId="0">[14]Article!#REF!</definedName>
    <definedName name="k">[14]Article!#REF!</definedName>
    <definedName name="kuk">'[44]BUD-D.XLS'!$CD$2:$CM$49</definedName>
    <definedName name="L">'[27]BUD-D.XLS'!$L$2:$U$49</definedName>
    <definedName name="LAB">[14]Article!$B$41:$P$44</definedName>
    <definedName name="lan" localSheetId="0">[14]Article!#REF!</definedName>
    <definedName name="lan">[14]Article!#REF!</definedName>
    <definedName name="Last_Row" localSheetId="0">IF(April!Values_Entered,[0]!Header_Row+April!Number_of_Payments,[0]!Header_Row)</definedName>
    <definedName name="Last_Row">IF(Values_Entered,Header_Row+Number_of_Payments,Header_Row)</definedName>
    <definedName name="lb" localSheetId="0">[14]Article!#REF!</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 localSheetId="0">[14]STOCKS!#REF!</definedName>
    <definedName name="mmm">[14]STOCKS!#REF!</definedName>
    <definedName name="mnth">[64]Working!$B$6</definedName>
    <definedName name="month">'[23]Sep 2005-Detailed Accs'!$A$1</definedName>
    <definedName name="Month2">#REF!</definedName>
    <definedName name="MonthPlan">#REF!</definedName>
    <definedName name="mot" localSheetId="0">[14]Article!#REF!</definedName>
    <definedName name="mot">[14]Article!#REF!</definedName>
    <definedName name="MSC">#REF!</definedName>
    <definedName name="mti">[14]Article!$B$100:$P$130</definedName>
    <definedName name="mtil">[31]Article!$B$156:$P$229</definedName>
    <definedName name="mtio" localSheetId="0">[14]Article!#REF!</definedName>
    <definedName name="mtio">[14]Article!#REF!</definedName>
    <definedName name="mv">#REF!</definedName>
    <definedName name="MVMRANGE">'[51]MV-MAINTEN'!$A$1:$G$94</definedName>
    <definedName name="mvsc">[31]Article!$B$28:$P$41</definedName>
    <definedName name="mvsk" localSheetId="0">[14]Article!#REF!</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0">MATCH(0.01,[0]!End_Bal,-1)+1</definedName>
    <definedName name="Number_of_Payments">MATCH(0.01,End_Bal,-1)+1</definedName>
    <definedName name="NZ_APR_CVL" localSheetId="0">#REF!</definedName>
    <definedName name="NZ_APR_CVL">#REF!</definedName>
    <definedName name="NZ_APR_CVL_YTD" localSheetId="0">#REF!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 localSheetId="0">[14]Article!#REF!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 localSheetId="0">[14]Article!#REF!</definedName>
    <definedName name="OS">[14]Article!#REF!</definedName>
    <definedName name="OS2001_Data">#REF!</definedName>
    <definedName name="OS2002_Data">'[67]OS-2002'!$D$6:$I$2069</definedName>
    <definedName name="oth" localSheetId="0">[14]Article!#REF!</definedName>
    <definedName name="oth">[14]Article!#REF!</definedName>
    <definedName name="other" localSheetId="0">[14]Article!#REF!</definedName>
    <definedName name="other">[14]Article!#REF!</definedName>
    <definedName name="otherexp">#REF!</definedName>
    <definedName name="Otherincome">#REF!</definedName>
    <definedName name="otheropsincome">#REF!</definedName>
    <definedName name="ots" localSheetId="0">[14]Article!#REF!</definedName>
    <definedName name="ots">[14]Article!#REF!</definedName>
    <definedName name="ott" localSheetId="0">[14]Article!#REF!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0">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_xlnm.Print_Area" localSheetId="0">#REF!</definedName>
    <definedName name="_xlnm.Print_Area">#REF!</definedName>
    <definedName name="Print_Area_MI">#REF!</definedName>
    <definedName name="Print_Area_Reset" localSheetId="0">OFFSET([0]!Full_Print,0,0,April!Last_Row)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 localSheetId="0">#REF!</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 localSheetId="0">[14]STOCKS!#REF!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 localSheetId="0">[14]STOCKS!#REF!</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 localSheetId="0">[14]Article!#REF!</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 localSheetId="0">[14]STOCKS!#REF!</definedName>
    <definedName name="shi">[14]STOCKS!#REF!</definedName>
    <definedName name="shira">[33]shira!$A$7:$AB$148</definedName>
    <definedName name="SHRS" localSheetId="0">[29]Cap!#REF!</definedName>
    <definedName name="SHRS">[29]Cap!#REF!</definedName>
    <definedName name="SIERANGE">[59]SIE!$A$1:$E$94</definedName>
    <definedName name="SLOT">[61]Article!$B$187:$P$187</definedName>
    <definedName name="SLOW">[10]Sheet1!$Q$228</definedName>
    <definedName name="SPCS" localSheetId="0">[29]Cap!#REF!</definedName>
    <definedName name="SPCS">[29]Cap!#REF!</definedName>
    <definedName name="sqs" localSheetId="0">[3]Sheet1!#REF!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 localSheetId="0">[14]STOCKS!#REF!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 localSheetId="0">'[78]2006'!#REF!</definedName>
    <definedName name="TEST1">'[78]2006'!#REF!</definedName>
    <definedName name="th">'[44]BUD-D.XLS'!$CX$2:$DG$49</definedName>
    <definedName name="three" localSheetId="0">[79]TallySheet!#REF!</definedName>
    <definedName name="three">[79]TallySheet!#REF!</definedName>
    <definedName name="three1" localSheetId="0">[80]TallySheet!#REF!</definedName>
    <definedName name="three1">[80]TallySheet!#REF!</definedName>
    <definedName name="ti">#REF!</definedName>
    <definedName name="tij" localSheetId="0">[14]Article!#REF!</definedName>
    <definedName name="tij">[14]Article!#REF!</definedName>
    <definedName name="TIL">#REF!</definedName>
    <definedName name="tilc">#REF!</definedName>
    <definedName name="tilj">#REF!</definedName>
    <definedName name="tilr" localSheetId="0">[14]Article!#REF!</definedName>
    <definedName name="tilr">[14]Article!#REF!</definedName>
    <definedName name="tio" localSheetId="0">[14]Article!#REF!</definedName>
    <definedName name="tio">[14]Article!#REF!</definedName>
    <definedName name="Total_Interest">#REF!</definedName>
    <definedName name="Total_Pay">#REF!</definedName>
    <definedName name="Total_Payment" localSheetId="0">Scheduled_Payment+Extra_Payment</definedName>
    <definedName name="Total_Payment">Scheduled_Payment+Extra_Payment</definedName>
    <definedName name="tra" localSheetId="0">[14]STOCKS!#REF!</definedName>
    <definedName name="tra">[14]STOCKS!#REF!</definedName>
    <definedName name="TRVRANGE">[59]TRAVELLING!$A$1:$E$94</definedName>
    <definedName name="tt">#REF!</definedName>
    <definedName name="TTT" localSheetId="0">[14]Article!#REF!</definedName>
    <definedName name="TTT">[14]Article!#REF!</definedName>
    <definedName name="tttt">#REF!</definedName>
    <definedName name="Turnover">#REF!</definedName>
    <definedName name="U">#REF!</definedName>
    <definedName name="UAE" localSheetId="0">[14]Article!#REF!</definedName>
    <definedName name="UAE">[14]Article!#REF!</definedName>
    <definedName name="UNIT" localSheetId="0">[14]Article!#REF!</definedName>
    <definedName name="UNIT">[14]Article!#REF!</definedName>
    <definedName name="USA" localSheetId="0">[14]Article!#REF!</definedName>
    <definedName name="USA">[14]Article!#REF!</definedName>
    <definedName name="usdcum">#REF!</definedName>
    <definedName name="usdcumnoa">#REF!</definedName>
    <definedName name="UserCtcCube">#REF!</definedName>
    <definedName name="ValidDepts">#REF!</definedName>
    <definedName name="Values_Entered" localSheetId="0">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2" i="2" l="1"/>
  <c r="AO32" i="2" s="1"/>
  <c r="AL32" i="2"/>
  <c r="AN32" i="2" s="1"/>
  <c r="AA32" i="2"/>
  <c r="Z32" i="2"/>
  <c r="AC32" i="2" s="1"/>
  <c r="W32" i="2"/>
  <c r="V32" i="2"/>
  <c r="S32" i="2"/>
  <c r="T32" i="2" s="1"/>
  <c r="R32" i="2"/>
  <c r="O32" i="2"/>
  <c r="N32" i="2"/>
  <c r="Q32" i="2" s="1"/>
  <c r="K32" i="2"/>
  <c r="J32" i="2"/>
  <c r="M32" i="2" s="1"/>
  <c r="AK32" i="2"/>
  <c r="AJ32" i="2"/>
  <c r="AG32" i="2"/>
  <c r="AF32" i="2"/>
  <c r="AB32" i="2"/>
  <c r="Y32" i="2"/>
  <c r="X32" i="2"/>
  <c r="U32" i="2"/>
  <c r="P32" i="2"/>
  <c r="L32" i="2"/>
  <c r="AM31" i="2"/>
  <c r="AL31" i="2"/>
  <c r="AA31" i="2"/>
  <c r="Z31" i="2"/>
  <c r="W31" i="2"/>
  <c r="V31" i="2"/>
  <c r="S31" i="2"/>
  <c r="R31" i="2"/>
  <c r="O31" i="2"/>
  <c r="N31" i="2"/>
  <c r="K31" i="2"/>
  <c r="J31" i="2"/>
  <c r="AE29" i="2" l="1"/>
  <c r="AD29" i="2"/>
  <c r="AE28" i="2"/>
  <c r="AD28" i="2"/>
  <c r="AE27" i="2"/>
  <c r="AD27" i="2"/>
  <c r="AE26" i="2"/>
  <c r="AD26" i="2"/>
  <c r="AJ29" i="2" l="1"/>
  <c r="AH29" i="2"/>
  <c r="AG29" i="2"/>
  <c r="AF29" i="2"/>
  <c r="AH28" i="2"/>
  <c r="AJ28" i="2" s="1"/>
  <c r="AG28" i="2"/>
  <c r="AF28" i="2"/>
  <c r="AF27" i="2"/>
  <c r="AG27" i="2"/>
  <c r="AH27" i="2"/>
  <c r="AJ27" i="2"/>
  <c r="AH26" i="2"/>
  <c r="AJ26" i="2" s="1"/>
  <c r="AG26" i="2"/>
  <c r="AF26" i="2"/>
  <c r="AH79" i="2" l="1"/>
  <c r="AE79" i="2"/>
  <c r="AU78" i="2"/>
  <c r="AT78" i="2"/>
  <c r="AS78" i="2"/>
  <c r="AR78" i="2"/>
  <c r="AO78" i="2"/>
  <c r="AN78" i="2"/>
  <c r="AJ78" i="2"/>
  <c r="AF78" i="2"/>
  <c r="AC78" i="2"/>
  <c r="AB78" i="2"/>
  <c r="Y78" i="2"/>
  <c r="X78" i="2"/>
  <c r="U78" i="2"/>
  <c r="T78" i="2"/>
  <c r="P78" i="2"/>
  <c r="L78" i="2"/>
  <c r="G78" i="2"/>
  <c r="I78" i="2" s="1"/>
  <c r="F78" i="2"/>
  <c r="I77" i="2"/>
  <c r="H77" i="2"/>
  <c r="G77" i="2"/>
  <c r="F77" i="2"/>
  <c r="AO75" i="2"/>
  <c r="AN75" i="2"/>
  <c r="AM75" i="2"/>
  <c r="AL75" i="2"/>
  <c r="AJ75" i="2"/>
  <c r="AF75" i="2"/>
  <c r="AA75" i="2"/>
  <c r="Z75" i="2"/>
  <c r="Y75" i="2"/>
  <c r="X75" i="2"/>
  <c r="W75" i="2"/>
  <c r="V75" i="2"/>
  <c r="S75" i="2"/>
  <c r="R75" i="2"/>
  <c r="P75" i="2"/>
  <c r="L75" i="2"/>
  <c r="G75" i="2"/>
  <c r="I75" i="2" s="1"/>
  <c r="F75" i="2"/>
  <c r="AU74" i="2"/>
  <c r="AT74" i="2"/>
  <c r="AM74" i="2"/>
  <c r="AO74" i="2" s="1"/>
  <c r="AL74" i="2"/>
  <c r="AN74" i="2" s="1"/>
  <c r="AJ74" i="2"/>
  <c r="AF74" i="2"/>
  <c r="AC74" i="2"/>
  <c r="AB74" i="2"/>
  <c r="AA74" i="2"/>
  <c r="Z74" i="2"/>
  <c r="W74" i="2"/>
  <c r="V74" i="2"/>
  <c r="X74" i="2" s="1"/>
  <c r="U74" i="2"/>
  <c r="T74" i="2"/>
  <c r="S74" i="2"/>
  <c r="R74" i="2"/>
  <c r="O74" i="2"/>
  <c r="N74" i="2"/>
  <c r="M74" i="2"/>
  <c r="L74" i="2"/>
  <c r="K74" i="2"/>
  <c r="J74" i="2"/>
  <c r="G74" i="2"/>
  <c r="I74" i="2" s="1"/>
  <c r="F74" i="2"/>
  <c r="AM73" i="2"/>
  <c r="AL73" i="2"/>
  <c r="AJ73" i="2"/>
  <c r="AF73" i="2"/>
  <c r="AA73" i="2"/>
  <c r="AC73" i="2" s="1"/>
  <c r="Z73" i="2"/>
  <c r="AB73" i="2" s="1"/>
  <c r="Y73" i="2"/>
  <c r="X73" i="2"/>
  <c r="W73" i="2"/>
  <c r="V73" i="2"/>
  <c r="S73" i="2"/>
  <c r="U73" i="2" s="1"/>
  <c r="R73" i="2"/>
  <c r="T73" i="2" s="1"/>
  <c r="Q73" i="2"/>
  <c r="P73" i="2"/>
  <c r="O73" i="2"/>
  <c r="AS73" i="2" s="1"/>
  <c r="N73" i="2"/>
  <c r="AR73" i="2" s="1"/>
  <c r="K73" i="2"/>
  <c r="M73" i="2" s="1"/>
  <c r="J73" i="2"/>
  <c r="L73" i="2" s="1"/>
  <c r="I73" i="2"/>
  <c r="H73" i="2"/>
  <c r="G73" i="2"/>
  <c r="F73" i="2"/>
  <c r="AU76" i="2"/>
  <c r="AT76" i="2"/>
  <c r="AN76" i="2"/>
  <c r="AJ76" i="2"/>
  <c r="AF76" i="2"/>
  <c r="AB76" i="2"/>
  <c r="X76" i="2"/>
  <c r="U76" i="2"/>
  <c r="T76" i="2"/>
  <c r="O76" i="2"/>
  <c r="AS76" i="2" s="1"/>
  <c r="N76" i="2"/>
  <c r="L76" i="2"/>
  <c r="K76" i="2"/>
  <c r="G76" i="2" s="1"/>
  <c r="I76" i="2" s="1"/>
  <c r="J76" i="2"/>
  <c r="F76" i="2"/>
  <c r="AU72" i="2"/>
  <c r="AM72" i="2"/>
  <c r="AM79" i="2" s="1"/>
  <c r="AL72" i="2"/>
  <c r="AJ72" i="2"/>
  <c r="AF72" i="2"/>
  <c r="AD72" i="2"/>
  <c r="AD79" i="2" s="1"/>
  <c r="AA72" i="2"/>
  <c r="AC72" i="2" s="1"/>
  <c r="Z72" i="2"/>
  <c r="W72" i="2"/>
  <c r="V72" i="2"/>
  <c r="S72" i="2"/>
  <c r="R72" i="2"/>
  <c r="P72" i="2"/>
  <c r="O72" i="2"/>
  <c r="O79" i="2" s="1"/>
  <c r="N72" i="2"/>
  <c r="N79" i="2" s="1"/>
  <c r="M72" i="2"/>
  <c r="L72" i="2"/>
  <c r="K72" i="2"/>
  <c r="G72" i="2" s="1"/>
  <c r="J72" i="2"/>
  <c r="F72" i="2" s="1"/>
  <c r="F79" i="2" s="1"/>
  <c r="AI71" i="2"/>
  <c r="AD71" i="2"/>
  <c r="V71" i="2"/>
  <c r="AU70" i="2"/>
  <c r="AT70" i="2"/>
  <c r="AS70" i="2"/>
  <c r="AR70" i="2"/>
  <c r="AN70" i="2"/>
  <c r="AJ70" i="2"/>
  <c r="AF70" i="2"/>
  <c r="Q70" i="2"/>
  <c r="P70" i="2"/>
  <c r="M70" i="2"/>
  <c r="L70" i="2"/>
  <c r="G70" i="2"/>
  <c r="I70" i="2" s="1"/>
  <c r="F70" i="2"/>
  <c r="AT69" i="2"/>
  <c r="AM69" i="2"/>
  <c r="AO69" i="2" s="1"/>
  <c r="AL69" i="2"/>
  <c r="AN69" i="2" s="1"/>
  <c r="AI69" i="2"/>
  <c r="AH69" i="2"/>
  <c r="AF69" i="2"/>
  <c r="AE69" i="2"/>
  <c r="AD69" i="2"/>
  <c r="AC69" i="2"/>
  <c r="AA69" i="2"/>
  <c r="Z69" i="2"/>
  <c r="Y69" i="2"/>
  <c r="W69" i="2"/>
  <c r="V69" i="2"/>
  <c r="S69" i="2"/>
  <c r="R69" i="2"/>
  <c r="T69" i="2" s="1"/>
  <c r="O69" i="2"/>
  <c r="N69" i="2"/>
  <c r="M69" i="2"/>
  <c r="K69" i="2"/>
  <c r="G69" i="2" s="1"/>
  <c r="J69" i="2"/>
  <c r="L69" i="2" s="1"/>
  <c r="F69" i="2"/>
  <c r="AU68" i="2"/>
  <c r="AM68" i="2"/>
  <c r="AL68" i="2"/>
  <c r="AJ68" i="2"/>
  <c r="AI68" i="2"/>
  <c r="AE68" i="2"/>
  <c r="AD68" i="2"/>
  <c r="AF68" i="2" s="1"/>
  <c r="AA68" i="2"/>
  <c r="AC68" i="2" s="1"/>
  <c r="Z68" i="2"/>
  <c r="AT68" i="2" s="1"/>
  <c r="Y68" i="2"/>
  <c r="W68" i="2"/>
  <c r="V68" i="2"/>
  <c r="S68" i="2"/>
  <c r="T68" i="2" s="1"/>
  <c r="R68" i="2"/>
  <c r="O68" i="2"/>
  <c r="N68" i="2"/>
  <c r="AR68" i="2" s="1"/>
  <c r="K68" i="2"/>
  <c r="M68" i="2" s="1"/>
  <c r="J68" i="2"/>
  <c r="G68" i="2"/>
  <c r="F68" i="2"/>
  <c r="AM67" i="2"/>
  <c r="AL67" i="2"/>
  <c r="AK67" i="2"/>
  <c r="AI67" i="2"/>
  <c r="AH67" i="2"/>
  <c r="AJ67" i="2" s="1"/>
  <c r="AE67" i="2"/>
  <c r="AD67" i="2"/>
  <c r="AC67" i="2"/>
  <c r="AA67" i="2"/>
  <c r="Z67" i="2"/>
  <c r="Y67" i="2"/>
  <c r="W67" i="2"/>
  <c r="V67" i="2"/>
  <c r="S67" i="2"/>
  <c r="T67" i="2" s="1"/>
  <c r="R67" i="2"/>
  <c r="AR67" i="2" s="1"/>
  <c r="O67" i="2"/>
  <c r="Q67" i="2" s="1"/>
  <c r="N67" i="2"/>
  <c r="K67" i="2"/>
  <c r="J67" i="2"/>
  <c r="F67" i="2" s="1"/>
  <c r="AS66" i="2"/>
  <c r="AR66" i="2"/>
  <c r="AO66" i="2"/>
  <c r="AM66" i="2"/>
  <c r="AL66" i="2"/>
  <c r="AL71" i="2" s="1"/>
  <c r="AI66" i="2"/>
  <c r="AI79" i="2" s="1"/>
  <c r="AI80" i="2" s="1"/>
  <c r="AH66" i="2"/>
  <c r="AF66" i="2"/>
  <c r="AD66" i="2"/>
  <c r="AA66" i="2"/>
  <c r="AA71" i="2" s="1"/>
  <c r="Z66" i="2"/>
  <c r="AC66" i="2" s="1"/>
  <c r="W66" i="2"/>
  <c r="Y66" i="2" s="1"/>
  <c r="V66" i="2"/>
  <c r="T66" i="2"/>
  <c r="S66" i="2"/>
  <c r="S71" i="2" s="1"/>
  <c r="U71" i="2" s="1"/>
  <c r="R66" i="2"/>
  <c r="R71" i="2" s="1"/>
  <c r="Q66" i="2"/>
  <c r="P66" i="2"/>
  <c r="O66" i="2"/>
  <c r="N66" i="2"/>
  <c r="M66" i="2"/>
  <c r="L66" i="2"/>
  <c r="K66" i="2"/>
  <c r="K71" i="2" s="1"/>
  <c r="J66" i="2"/>
  <c r="J71" i="2" s="1"/>
  <c r="M71" i="2" s="1"/>
  <c r="AM65" i="2"/>
  <c r="Z65" i="2"/>
  <c r="N65" i="2"/>
  <c r="AM64" i="2"/>
  <c r="AL64" i="2"/>
  <c r="AI64" i="2"/>
  <c r="AI65" i="2" s="1"/>
  <c r="AH64" i="2"/>
  <c r="AT64" i="2" s="1"/>
  <c r="AA64" i="2"/>
  <c r="AC64" i="2" s="1"/>
  <c r="AC65" i="2" s="1"/>
  <c r="Z64" i="2"/>
  <c r="X64" i="2"/>
  <c r="X65" i="2" s="1"/>
  <c r="W64" i="2"/>
  <c r="V64" i="2"/>
  <c r="V65" i="2" s="1"/>
  <c r="O64" i="2"/>
  <c r="AS64" i="2" s="1"/>
  <c r="N64" i="2"/>
  <c r="L64" i="2"/>
  <c r="L65" i="2" s="1"/>
  <c r="K64" i="2"/>
  <c r="J64" i="2"/>
  <c r="J65" i="2" s="1"/>
  <c r="AK63" i="2"/>
  <c r="AJ63" i="2"/>
  <c r="AG63" i="2"/>
  <c r="AF63" i="2"/>
  <c r="W63" i="2"/>
  <c r="V63" i="2"/>
  <c r="T63" i="2"/>
  <c r="K63" i="2"/>
  <c r="AU62" i="2"/>
  <c r="AT62" i="2"/>
  <c r="AS62" i="2"/>
  <c r="AR62" i="2"/>
  <c r="AO62" i="2"/>
  <c r="AN62" i="2"/>
  <c r="AK62" i="2"/>
  <c r="AJ62" i="2"/>
  <c r="AG62" i="2"/>
  <c r="AF62" i="2"/>
  <c r="AC62" i="2"/>
  <c r="AB62" i="2"/>
  <c r="Y62" i="2"/>
  <c r="X62" i="2"/>
  <c r="T62" i="2"/>
  <c r="Q62" i="2"/>
  <c r="P62" i="2"/>
  <c r="M62" i="2"/>
  <c r="L62" i="2"/>
  <c r="AM61" i="2"/>
  <c r="AK61" i="2"/>
  <c r="AJ61" i="2"/>
  <c r="AG61" i="2"/>
  <c r="AF61" i="2"/>
  <c r="AA61" i="2"/>
  <c r="Z61" i="2"/>
  <c r="AL61" i="2" s="1"/>
  <c r="W61" i="2"/>
  <c r="Y61" i="2" s="1"/>
  <c r="V61" i="2"/>
  <c r="T61" i="2"/>
  <c r="Q61" i="2"/>
  <c r="P61" i="2"/>
  <c r="O61" i="2"/>
  <c r="N61" i="2"/>
  <c r="AR61" i="2" s="1"/>
  <c r="M61" i="2"/>
  <c r="L61" i="2"/>
  <c r="K61" i="2"/>
  <c r="J61" i="2"/>
  <c r="J63" i="2" s="1"/>
  <c r="L63" i="2" s="1"/>
  <c r="I61" i="2"/>
  <c r="I63" i="2" s="1"/>
  <c r="I64" i="2" s="1"/>
  <c r="I65" i="2" s="1"/>
  <c r="H61" i="2"/>
  <c r="H63" i="2" s="1"/>
  <c r="H64" i="2" s="1"/>
  <c r="H65" i="2" s="1"/>
  <c r="G61" i="2"/>
  <c r="G63" i="2" s="1"/>
  <c r="F61" i="2"/>
  <c r="F63" i="2" s="1"/>
  <c r="AI60" i="2"/>
  <c r="AE60" i="2"/>
  <c r="AO59" i="2"/>
  <c r="AN59" i="2"/>
  <c r="AM59" i="2"/>
  <c r="AL59" i="2"/>
  <c r="AJ59" i="2"/>
  <c r="AE59" i="2"/>
  <c r="AD59" i="2"/>
  <c r="AC59" i="2"/>
  <c r="AB59" i="2"/>
  <c r="AA59" i="2"/>
  <c r="AU59" i="2" s="1"/>
  <c r="Z59" i="2"/>
  <c r="W59" i="2"/>
  <c r="V59" i="2"/>
  <c r="U59" i="2"/>
  <c r="T59" i="2"/>
  <c r="S59" i="2"/>
  <c r="R59" i="2"/>
  <c r="O59" i="2"/>
  <c r="AS59" i="2" s="1"/>
  <c r="N59" i="2"/>
  <c r="M59" i="2"/>
  <c r="L59" i="2"/>
  <c r="K59" i="2"/>
  <c r="G59" i="2" s="1"/>
  <c r="J59" i="2"/>
  <c r="F59" i="2"/>
  <c r="H59" i="2" s="1"/>
  <c r="AU58" i="2"/>
  <c r="AM58" i="2"/>
  <c r="AL58" i="2"/>
  <c r="AJ58" i="2"/>
  <c r="AH58" i="2"/>
  <c r="AF58" i="2"/>
  <c r="AE58" i="2"/>
  <c r="AA58" i="2"/>
  <c r="Z58" i="2"/>
  <c r="X58" i="2"/>
  <c r="W58" i="2"/>
  <c r="V58" i="2"/>
  <c r="U58" i="2"/>
  <c r="T58" i="2"/>
  <c r="S58" i="2"/>
  <c r="S60" i="2" s="1"/>
  <c r="R58" i="2"/>
  <c r="Q58" i="2"/>
  <c r="P58" i="2"/>
  <c r="O58" i="2"/>
  <c r="AS58" i="2" s="1"/>
  <c r="N58" i="2"/>
  <c r="AR58" i="2" s="1"/>
  <c r="M58" i="2"/>
  <c r="L58" i="2"/>
  <c r="K58" i="2"/>
  <c r="J58" i="2"/>
  <c r="I58" i="2"/>
  <c r="H58" i="2"/>
  <c r="G58" i="2"/>
  <c r="F58" i="2"/>
  <c r="AU57" i="2"/>
  <c r="AT57" i="2"/>
  <c r="AO57" i="2"/>
  <c r="AN57" i="2"/>
  <c r="AJ57" i="2"/>
  <c r="AF57" i="2"/>
  <c r="AC57" i="2"/>
  <c r="AB57" i="2"/>
  <c r="Y57" i="2"/>
  <c r="X57" i="2"/>
  <c r="T57" i="2"/>
  <c r="P57" i="2"/>
  <c r="O57" i="2"/>
  <c r="AS57" i="2" s="1"/>
  <c r="N57" i="2"/>
  <c r="AR57" i="2" s="1"/>
  <c r="M57" i="2"/>
  <c r="L57" i="2"/>
  <c r="AS56" i="2"/>
  <c r="AO56" i="2"/>
  <c r="AM56" i="2"/>
  <c r="AL56" i="2"/>
  <c r="AN56" i="2" s="1"/>
  <c r="AH56" i="2"/>
  <c r="AJ56" i="2" s="1"/>
  <c r="AD56" i="2"/>
  <c r="AF56" i="2" s="1"/>
  <c r="AC56" i="2"/>
  <c r="AA56" i="2"/>
  <c r="AU56" i="2" s="1"/>
  <c r="Z56" i="2"/>
  <c r="AB56" i="2" s="1"/>
  <c r="W56" i="2"/>
  <c r="V56" i="2"/>
  <c r="X56" i="2" s="1"/>
  <c r="U56" i="2"/>
  <c r="T56" i="2"/>
  <c r="Q56" i="2"/>
  <c r="P56" i="2"/>
  <c r="O56" i="2"/>
  <c r="N56" i="2"/>
  <c r="M56" i="2"/>
  <c r="L56" i="2"/>
  <c r="K56" i="2"/>
  <c r="G56" i="2" s="1"/>
  <c r="I56" i="2" s="1"/>
  <c r="J56" i="2"/>
  <c r="F56" i="2" s="1"/>
  <c r="AU55" i="2"/>
  <c r="AT55" i="2"/>
  <c r="AS55" i="2"/>
  <c r="AR55" i="2"/>
  <c r="AO55" i="2"/>
  <c r="AN55" i="2"/>
  <c r="AK55" i="2"/>
  <c r="AJ55" i="2"/>
  <c r="AG55" i="2"/>
  <c r="AF55" i="2"/>
  <c r="AC55" i="2"/>
  <c r="AB55" i="2"/>
  <c r="Y55" i="2"/>
  <c r="X55" i="2"/>
  <c r="U55" i="2"/>
  <c r="T55" i="2"/>
  <c r="Q55" i="2"/>
  <c r="P55" i="2"/>
  <c r="M55" i="2"/>
  <c r="L55" i="2"/>
  <c r="I55" i="2"/>
  <c r="H55" i="2"/>
  <c r="G55" i="2"/>
  <c r="F55" i="2"/>
  <c r="AU54" i="2"/>
  <c r="AT54" i="2"/>
  <c r="AS54" i="2"/>
  <c r="AR54" i="2"/>
  <c r="AO54" i="2"/>
  <c r="AN54" i="2"/>
  <c r="AK54" i="2"/>
  <c r="AJ54" i="2"/>
  <c r="AG54" i="2"/>
  <c r="AF54" i="2"/>
  <c r="AC54" i="2"/>
  <c r="AB54" i="2"/>
  <c r="Y54" i="2"/>
  <c r="X54" i="2"/>
  <c r="U54" i="2"/>
  <c r="T54" i="2"/>
  <c r="Q54" i="2"/>
  <c r="P54" i="2"/>
  <c r="M54" i="2"/>
  <c r="L54" i="2"/>
  <c r="I54" i="2"/>
  <c r="H54" i="2"/>
  <c r="G54" i="2"/>
  <c r="F54" i="2"/>
  <c r="AU53" i="2"/>
  <c r="AT53" i="2"/>
  <c r="AS53" i="2"/>
  <c r="AR53" i="2"/>
  <c r="AO53" i="2"/>
  <c r="AN53" i="2"/>
  <c r="AK53" i="2"/>
  <c r="AJ53" i="2"/>
  <c r="AG53" i="2"/>
  <c r="AF53" i="2"/>
  <c r="AC53" i="2"/>
  <c r="AB53" i="2"/>
  <c r="Y53" i="2"/>
  <c r="X53" i="2"/>
  <c r="U53" i="2"/>
  <c r="T53" i="2"/>
  <c r="Q53" i="2"/>
  <c r="P53" i="2"/>
  <c r="M53" i="2"/>
  <c r="L53" i="2"/>
  <c r="I53" i="2"/>
  <c r="H53" i="2"/>
  <c r="G53" i="2"/>
  <c r="F53" i="2"/>
  <c r="AU52" i="2"/>
  <c r="AT52" i="2"/>
  <c r="AS52" i="2"/>
  <c r="AR52" i="2"/>
  <c r="AO52" i="2"/>
  <c r="AN52" i="2"/>
  <c r="AK52" i="2"/>
  <c r="AJ52" i="2"/>
  <c r="AG52" i="2"/>
  <c r="AF52" i="2"/>
  <c r="AC52" i="2"/>
  <c r="AB52" i="2"/>
  <c r="Y52" i="2"/>
  <c r="X52" i="2"/>
  <c r="U52" i="2"/>
  <c r="T52" i="2"/>
  <c r="Q52" i="2"/>
  <c r="P52" i="2"/>
  <c r="M52" i="2"/>
  <c r="L52" i="2"/>
  <c r="I52" i="2"/>
  <c r="H52" i="2"/>
  <c r="G52" i="2"/>
  <c r="F52" i="2"/>
  <c r="AU51" i="2"/>
  <c r="AT51" i="2"/>
  <c r="AS51" i="2"/>
  <c r="AR51" i="2"/>
  <c r="AO51" i="2"/>
  <c r="AN51" i="2"/>
  <c r="AL51" i="2"/>
  <c r="AK51" i="2"/>
  <c r="AJ51" i="2"/>
  <c r="AG51" i="2"/>
  <c r="AF51" i="2"/>
  <c r="AC51" i="2"/>
  <c r="AB51" i="2"/>
  <c r="Y51" i="2"/>
  <c r="X51" i="2"/>
  <c r="V51" i="2"/>
  <c r="U51" i="2"/>
  <c r="T51" i="2"/>
  <c r="Q51" i="2"/>
  <c r="P51" i="2"/>
  <c r="M51" i="2"/>
  <c r="L51" i="2"/>
  <c r="G51" i="2"/>
  <c r="I51" i="2" s="1"/>
  <c r="F51" i="2"/>
  <c r="AM50" i="2"/>
  <c r="AL50" i="2"/>
  <c r="AK50" i="2"/>
  <c r="AJ50" i="2"/>
  <c r="AG50" i="2"/>
  <c r="AF50" i="2"/>
  <c r="AC50" i="2"/>
  <c r="AB50" i="2"/>
  <c r="Y50" i="2"/>
  <c r="X50" i="2"/>
  <c r="W50" i="2"/>
  <c r="V50" i="2"/>
  <c r="U50" i="2"/>
  <c r="T50" i="2"/>
  <c r="O50" i="2"/>
  <c r="N50" i="2"/>
  <c r="M50" i="2"/>
  <c r="K50" i="2"/>
  <c r="L50" i="2" s="1"/>
  <c r="J50" i="2"/>
  <c r="G50" i="2"/>
  <c r="F50" i="2"/>
  <c r="H50" i="2" s="1"/>
  <c r="AM49" i="2"/>
  <c r="AL49" i="2"/>
  <c r="AK49" i="2"/>
  <c r="AJ49" i="2"/>
  <c r="AG49" i="2"/>
  <c r="AF49" i="2"/>
  <c r="AA49" i="2"/>
  <c r="AC49" i="2" s="1"/>
  <c r="Z49" i="2"/>
  <c r="Y49" i="2"/>
  <c r="W49" i="2"/>
  <c r="X49" i="2" s="1"/>
  <c r="V49" i="2"/>
  <c r="U49" i="2"/>
  <c r="T49" i="2"/>
  <c r="Q49" i="2"/>
  <c r="P49" i="2"/>
  <c r="O49" i="2"/>
  <c r="N49" i="2"/>
  <c r="AR49" i="2" s="1"/>
  <c r="M49" i="2"/>
  <c r="L49" i="2"/>
  <c r="K49" i="2"/>
  <c r="J49" i="2"/>
  <c r="I49" i="2"/>
  <c r="H49" i="2"/>
  <c r="G49" i="2"/>
  <c r="F49" i="2"/>
  <c r="AU48" i="2"/>
  <c r="AM48" i="2"/>
  <c r="AO48" i="2" s="1"/>
  <c r="AL48" i="2"/>
  <c r="AK48" i="2"/>
  <c r="AJ48" i="2"/>
  <c r="AG48" i="2"/>
  <c r="AF48" i="2"/>
  <c r="AA48" i="2"/>
  <c r="AC48" i="2" s="1"/>
  <c r="Z48" i="2"/>
  <c r="AT48" i="2" s="1"/>
  <c r="Y48" i="2"/>
  <c r="X48" i="2"/>
  <c r="W48" i="2"/>
  <c r="V48" i="2"/>
  <c r="U48" i="2"/>
  <c r="T48" i="2"/>
  <c r="O48" i="2"/>
  <c r="N48" i="2"/>
  <c r="AR48" i="2" s="1"/>
  <c r="K48" i="2"/>
  <c r="J48" i="2"/>
  <c r="AM47" i="2"/>
  <c r="AN47" i="2" s="1"/>
  <c r="AL47" i="2"/>
  <c r="AJ47" i="2"/>
  <c r="AF47" i="2"/>
  <c r="AA47" i="2"/>
  <c r="Z47" i="2"/>
  <c r="Y47" i="2"/>
  <c r="X47" i="2"/>
  <c r="W47" i="2"/>
  <c r="V47" i="2"/>
  <c r="R47" i="2"/>
  <c r="O47" i="2"/>
  <c r="N47" i="2"/>
  <c r="K47" i="2"/>
  <c r="M47" i="2" s="1"/>
  <c r="J47" i="2"/>
  <c r="G47" i="2"/>
  <c r="F47" i="2"/>
  <c r="AS46" i="2"/>
  <c r="AM46" i="2"/>
  <c r="AO46" i="2" s="1"/>
  <c r="AL46" i="2"/>
  <c r="AN46" i="2" s="1"/>
  <c r="AJ46" i="2"/>
  <c r="AD46" i="2"/>
  <c r="AC46" i="2"/>
  <c r="AB46" i="2"/>
  <c r="AA46" i="2"/>
  <c r="AU46" i="2" s="1"/>
  <c r="Z46" i="2"/>
  <c r="W46" i="2"/>
  <c r="V46" i="2"/>
  <c r="U46" i="2"/>
  <c r="T46" i="2"/>
  <c r="Q46" i="2"/>
  <c r="P46" i="2"/>
  <c r="O46" i="2"/>
  <c r="N46" i="2"/>
  <c r="K46" i="2"/>
  <c r="J46" i="2"/>
  <c r="F46" i="2" s="1"/>
  <c r="AR45" i="2"/>
  <c r="AM45" i="2"/>
  <c r="AL45" i="2"/>
  <c r="AJ45" i="2"/>
  <c r="AF45" i="2"/>
  <c r="AA45" i="2"/>
  <c r="Z45" i="2"/>
  <c r="Z60" i="2" s="1"/>
  <c r="Y45" i="2"/>
  <c r="W45" i="2"/>
  <c r="V45" i="2"/>
  <c r="X45" i="2" s="1"/>
  <c r="U45" i="2"/>
  <c r="T45" i="2"/>
  <c r="Q45" i="2"/>
  <c r="P45" i="2"/>
  <c r="O45" i="2"/>
  <c r="N45" i="2"/>
  <c r="M45" i="2"/>
  <c r="L45" i="2"/>
  <c r="K45" i="2"/>
  <c r="J45" i="2"/>
  <c r="G45" i="2"/>
  <c r="AT44" i="2"/>
  <c r="AS44" i="2"/>
  <c r="AM44" i="2"/>
  <c r="AL44" i="2"/>
  <c r="AL60" i="2" s="1"/>
  <c r="AJ44" i="2"/>
  <c r="AF44" i="2"/>
  <c r="AC44" i="2"/>
  <c r="AB44" i="2"/>
  <c r="AA44" i="2"/>
  <c r="Y44" i="2"/>
  <c r="X44" i="2"/>
  <c r="W44" i="2"/>
  <c r="W60" i="2" s="1"/>
  <c r="V44" i="2"/>
  <c r="T44" i="2"/>
  <c r="Q44" i="2"/>
  <c r="O44" i="2"/>
  <c r="N44" i="2"/>
  <c r="M44" i="2"/>
  <c r="K44" i="2"/>
  <c r="J44" i="2"/>
  <c r="G44" i="2"/>
  <c r="AI43" i="2"/>
  <c r="AH43" i="2"/>
  <c r="AJ43" i="2" s="1"/>
  <c r="AE43" i="2"/>
  <c r="AD43" i="2"/>
  <c r="V43" i="2"/>
  <c r="S43" i="2"/>
  <c r="N43" i="2"/>
  <c r="K43" i="2"/>
  <c r="AL42" i="2"/>
  <c r="AK42" i="2"/>
  <c r="AJ42" i="2"/>
  <c r="AG42" i="2"/>
  <c r="AF42" i="2"/>
  <c r="AA42" i="2"/>
  <c r="AA43" i="2" s="1"/>
  <c r="Z42" i="2"/>
  <c r="W42" i="2"/>
  <c r="V42" i="2"/>
  <c r="S42" i="2"/>
  <c r="U42" i="2" s="1"/>
  <c r="R42" i="2"/>
  <c r="O42" i="2"/>
  <c r="N42" i="2"/>
  <c r="K42" i="2"/>
  <c r="J42" i="2"/>
  <c r="G42" i="2"/>
  <c r="AU41" i="2"/>
  <c r="AT41" i="2"/>
  <c r="AS41" i="2"/>
  <c r="AR41" i="2"/>
  <c r="AO41" i="2"/>
  <c r="AN41" i="2"/>
  <c r="AK41" i="2"/>
  <c r="AJ41" i="2"/>
  <c r="AG41" i="2"/>
  <c r="AF41" i="2"/>
  <c r="AC41" i="2"/>
  <c r="AB41" i="2"/>
  <c r="Y41" i="2"/>
  <c r="X41" i="2"/>
  <c r="U41" i="2"/>
  <c r="T41" i="2"/>
  <c r="Q41" i="2"/>
  <c r="P41" i="2"/>
  <c r="M41" i="2"/>
  <c r="L41" i="2"/>
  <c r="G41" i="2"/>
  <c r="F41" i="2"/>
  <c r="AI40" i="2"/>
  <c r="AK40" i="2" s="1"/>
  <c r="AH40" i="2"/>
  <c r="AJ40" i="2" s="1"/>
  <c r="AE40" i="2"/>
  <c r="S40" i="2"/>
  <c r="U40" i="2" s="1"/>
  <c r="R40" i="2"/>
  <c r="T40" i="2" s="1"/>
  <c r="AU39" i="2"/>
  <c r="AT39" i="2"/>
  <c r="AS39" i="2"/>
  <c r="AR39" i="2"/>
  <c r="AO39" i="2"/>
  <c r="AN39" i="2"/>
  <c r="AK39" i="2"/>
  <c r="AJ39" i="2"/>
  <c r="AG39" i="2"/>
  <c r="AF39" i="2"/>
  <c r="AC39" i="2"/>
  <c r="Y39" i="2"/>
  <c r="U39" i="2"/>
  <c r="Q39" i="2"/>
  <c r="M39" i="2"/>
  <c r="I39" i="2"/>
  <c r="G39" i="2"/>
  <c r="F39" i="2"/>
  <c r="AU38" i="2"/>
  <c r="AS38" i="2"/>
  <c r="AJ38" i="2"/>
  <c r="AF38" i="2"/>
  <c r="Z38" i="2"/>
  <c r="X38" i="2"/>
  <c r="V38" i="2"/>
  <c r="Y38" i="2" s="1"/>
  <c r="U38" i="2"/>
  <c r="T38" i="2"/>
  <c r="N38" i="2"/>
  <c r="M38" i="2"/>
  <c r="L38" i="2"/>
  <c r="I38" i="2"/>
  <c r="H38" i="2"/>
  <c r="G38" i="2"/>
  <c r="F38" i="2"/>
  <c r="AU37" i="2"/>
  <c r="AT37" i="2"/>
  <c r="AR37" i="2"/>
  <c r="AO37" i="2"/>
  <c r="AN37" i="2"/>
  <c r="AM37" i="2"/>
  <c r="AL37" i="2"/>
  <c r="AH37" i="2"/>
  <c r="AJ37" i="2" s="1"/>
  <c r="AF37" i="2"/>
  <c r="AC37" i="2"/>
  <c r="AB37" i="2"/>
  <c r="AA37" i="2"/>
  <c r="Z37" i="2"/>
  <c r="W37" i="2"/>
  <c r="V37" i="2"/>
  <c r="U37" i="2"/>
  <c r="T37" i="2"/>
  <c r="O37" i="2"/>
  <c r="N37" i="2"/>
  <c r="Q37" i="2" s="1"/>
  <c r="K37" i="2"/>
  <c r="J37" i="2"/>
  <c r="AU36" i="2"/>
  <c r="AS36" i="2"/>
  <c r="AM36" i="2"/>
  <c r="AL36" i="2"/>
  <c r="AO36" i="2" s="1"/>
  <c r="AJ36" i="2"/>
  <c r="AH36" i="2"/>
  <c r="AF36" i="2"/>
  <c r="AC36" i="2"/>
  <c r="AB36" i="2"/>
  <c r="AA36" i="2"/>
  <c r="Z36" i="2"/>
  <c r="AT36" i="2" s="1"/>
  <c r="W36" i="2"/>
  <c r="V36" i="2"/>
  <c r="Y36" i="2" s="1"/>
  <c r="U36" i="2"/>
  <c r="T36" i="2"/>
  <c r="O36" i="2"/>
  <c r="N36" i="2"/>
  <c r="P36" i="2" s="1"/>
  <c r="K36" i="2"/>
  <c r="J36" i="2"/>
  <c r="F36" i="2"/>
  <c r="AT35" i="2"/>
  <c r="AM35" i="2"/>
  <c r="AL35" i="2"/>
  <c r="AN35" i="2" s="1"/>
  <c r="AJ35" i="2"/>
  <c r="AF35" i="2"/>
  <c r="AD35" i="2"/>
  <c r="AA35" i="2"/>
  <c r="AU35" i="2" s="1"/>
  <c r="Z35" i="2"/>
  <c r="AC35" i="2" s="1"/>
  <c r="W35" i="2"/>
  <c r="V35" i="2"/>
  <c r="U35" i="2"/>
  <c r="T35" i="2"/>
  <c r="O35" i="2"/>
  <c r="N35" i="2"/>
  <c r="M35" i="2"/>
  <c r="L35" i="2"/>
  <c r="K35" i="2"/>
  <c r="J35" i="2"/>
  <c r="G35" i="2"/>
  <c r="F35" i="2"/>
  <c r="AT34" i="2"/>
  <c r="AM34" i="2"/>
  <c r="AL34" i="2"/>
  <c r="AJ34" i="2"/>
  <c r="AG34" i="2"/>
  <c r="AF34" i="2"/>
  <c r="AE34" i="2"/>
  <c r="AD34" i="2"/>
  <c r="AD40" i="2" s="1"/>
  <c r="AF40" i="2" s="1"/>
  <c r="AB34" i="2"/>
  <c r="AA34" i="2"/>
  <c r="AA40" i="2" s="1"/>
  <c r="Z34" i="2"/>
  <c r="AC34" i="2" s="1"/>
  <c r="Y34" i="2"/>
  <c r="X34" i="2"/>
  <c r="W34" i="2"/>
  <c r="V34" i="2"/>
  <c r="U34" i="2"/>
  <c r="T34" i="2"/>
  <c r="P34" i="2"/>
  <c r="O34" i="2"/>
  <c r="O40" i="2" s="1"/>
  <c r="N34" i="2"/>
  <c r="K34" i="2"/>
  <c r="M34" i="2" s="1"/>
  <c r="J34" i="2"/>
  <c r="G34" i="2"/>
  <c r="AM33" i="2"/>
  <c r="AL33" i="2"/>
  <c r="AI33" i="2"/>
  <c r="AK33" i="2" s="1"/>
  <c r="AH33" i="2"/>
  <c r="AJ33" i="2" s="1"/>
  <c r="AE33" i="2"/>
  <c r="AD33" i="2"/>
  <c r="AF33" i="2" s="1"/>
  <c r="AA33" i="2"/>
  <c r="Z33" i="2"/>
  <c r="W33" i="2"/>
  <c r="V33" i="2"/>
  <c r="S33" i="2"/>
  <c r="R33" i="2"/>
  <c r="T33" i="2" s="1"/>
  <c r="O33" i="2"/>
  <c r="N33" i="2"/>
  <c r="K33" i="2"/>
  <c r="J33" i="2"/>
  <c r="AU32" i="2"/>
  <c r="AT32" i="2"/>
  <c r="AS32" i="2"/>
  <c r="AR32" i="2"/>
  <c r="G32" i="2"/>
  <c r="F32" i="2"/>
  <c r="AU31" i="2"/>
  <c r="AT31" i="2"/>
  <c r="AS31" i="2"/>
  <c r="AR31" i="2"/>
  <c r="AO31" i="2"/>
  <c r="AN31" i="2"/>
  <c r="AK31" i="2"/>
  <c r="AJ31" i="2"/>
  <c r="AG31" i="2"/>
  <c r="AF31" i="2"/>
  <c r="AC31" i="2"/>
  <c r="AB31" i="2"/>
  <c r="Y31" i="2"/>
  <c r="X31" i="2"/>
  <c r="U31" i="2"/>
  <c r="T31" i="2"/>
  <c r="Q31" i="2"/>
  <c r="P31" i="2"/>
  <c r="M31" i="2"/>
  <c r="L31" i="2"/>
  <c r="G31" i="2"/>
  <c r="I31" i="2" s="1"/>
  <c r="F31" i="2"/>
  <c r="AI30" i="2"/>
  <c r="AH30" i="2"/>
  <c r="AI25" i="2"/>
  <c r="AH25" i="2"/>
  <c r="AE25" i="2"/>
  <c r="AJ24" i="2"/>
  <c r="AF24" i="2"/>
  <c r="AA24" i="2"/>
  <c r="Z24" i="2"/>
  <c r="AL24" i="2" s="1"/>
  <c r="W24" i="2"/>
  <c r="Y24" i="2" s="1"/>
  <c r="V24" i="2"/>
  <c r="S24" i="2"/>
  <c r="R24" i="2"/>
  <c r="T24" i="2" s="1"/>
  <c r="O24" i="2"/>
  <c r="N24" i="2"/>
  <c r="K24" i="2"/>
  <c r="G24" i="2" s="1"/>
  <c r="J24" i="2"/>
  <c r="F24" i="2" s="1"/>
  <c r="AJ23" i="2"/>
  <c r="AF23" i="2"/>
  <c r="AA23" i="2"/>
  <c r="AM23" i="2" s="1"/>
  <c r="Z23" i="2"/>
  <c r="W23" i="2"/>
  <c r="V23" i="2"/>
  <c r="S23" i="2"/>
  <c r="R23" i="2"/>
  <c r="O23" i="2"/>
  <c r="N23" i="2"/>
  <c r="K23" i="2"/>
  <c r="J23" i="2"/>
  <c r="F23" i="2" s="1"/>
  <c r="AR22" i="2"/>
  <c r="AL22" i="2"/>
  <c r="AK22" i="2"/>
  <c r="AJ22" i="2"/>
  <c r="AD22" i="2"/>
  <c r="AG22" i="2" s="1"/>
  <c r="AC22" i="2"/>
  <c r="AA22" i="2"/>
  <c r="AM22" i="2" s="1"/>
  <c r="Z22" i="2"/>
  <c r="AB22" i="2" s="1"/>
  <c r="W22" i="2"/>
  <c r="V22" i="2"/>
  <c r="X22" i="2" s="1"/>
  <c r="T22" i="2"/>
  <c r="R22" i="2"/>
  <c r="O22" i="2"/>
  <c r="Q22" i="2" s="1"/>
  <c r="N22" i="2"/>
  <c r="K22" i="2"/>
  <c r="G22" i="2" s="1"/>
  <c r="J22" i="2"/>
  <c r="M22" i="2" s="1"/>
  <c r="AM21" i="2"/>
  <c r="AO21" i="2" s="1"/>
  <c r="AL21" i="2"/>
  <c r="AJ21" i="2"/>
  <c r="AF21" i="2"/>
  <c r="AA21" i="2"/>
  <c r="Z21" i="2"/>
  <c r="AT21" i="2" s="1"/>
  <c r="W21" i="2"/>
  <c r="AS21" i="2" s="1"/>
  <c r="V21" i="2"/>
  <c r="S21" i="2"/>
  <c r="R21" i="2"/>
  <c r="O21" i="2"/>
  <c r="Q21" i="2" s="1"/>
  <c r="N21" i="2"/>
  <c r="P21" i="2" s="1"/>
  <c r="K21" i="2"/>
  <c r="G21" i="2" s="1"/>
  <c r="I21" i="2" s="1"/>
  <c r="J21" i="2"/>
  <c r="F21" i="2" s="1"/>
  <c r="AM20" i="2"/>
  <c r="AO20" i="2" s="1"/>
  <c r="AL20" i="2"/>
  <c r="AN20" i="2" s="1"/>
  <c r="AJ20" i="2"/>
  <c r="AF20" i="2"/>
  <c r="AA20" i="2"/>
  <c r="AB20" i="2" s="1"/>
  <c r="Z20" i="2"/>
  <c r="AT20" i="2" s="1"/>
  <c r="W20" i="2"/>
  <c r="V20" i="2"/>
  <c r="X20" i="2" s="1"/>
  <c r="S20" i="2"/>
  <c r="R20" i="2"/>
  <c r="O20" i="2"/>
  <c r="N20" i="2"/>
  <c r="P20" i="2" s="1"/>
  <c r="K20" i="2"/>
  <c r="G20" i="2" s="1"/>
  <c r="J20" i="2"/>
  <c r="F20" i="2"/>
  <c r="AM19" i="2"/>
  <c r="AL19" i="2"/>
  <c r="AN19" i="2" s="1"/>
  <c r="AJ19" i="2"/>
  <c r="AD19" i="2"/>
  <c r="AD25" i="2" s="1"/>
  <c r="AF25" i="2" s="1"/>
  <c r="AA19" i="2"/>
  <c r="Z19" i="2"/>
  <c r="W19" i="2"/>
  <c r="Y19" i="2" s="1"/>
  <c r="V19" i="2"/>
  <c r="S19" i="2"/>
  <c r="S25" i="2" s="1"/>
  <c r="R19" i="2"/>
  <c r="Q19" i="2"/>
  <c r="O19" i="2"/>
  <c r="N19" i="2"/>
  <c r="K19" i="2"/>
  <c r="J19" i="2"/>
  <c r="F19" i="2" s="1"/>
  <c r="AI18" i="2"/>
  <c r="AH18" i="2"/>
  <c r="AJ18" i="2" s="1"/>
  <c r="AE18" i="2"/>
  <c r="R18" i="2"/>
  <c r="AT17" i="2"/>
  <c r="AR17" i="2"/>
  <c r="AL17" i="2"/>
  <c r="AJ17" i="2"/>
  <c r="AF17" i="2"/>
  <c r="AA17" i="2"/>
  <c r="Z17" i="2"/>
  <c r="W17" i="2"/>
  <c r="Y17" i="2" s="1"/>
  <c r="V17" i="2"/>
  <c r="X17" i="2" s="1"/>
  <c r="S17" i="2"/>
  <c r="R17" i="2"/>
  <c r="O17" i="2"/>
  <c r="N17" i="2"/>
  <c r="P17" i="2" s="1"/>
  <c r="K17" i="2"/>
  <c r="J17" i="2"/>
  <c r="F17" i="2"/>
  <c r="AU16" i="2"/>
  <c r="AM16" i="2"/>
  <c r="AO16" i="2" s="1"/>
  <c r="AL16" i="2"/>
  <c r="AN16" i="2" s="1"/>
  <c r="AJ16" i="2"/>
  <c r="AD16" i="2"/>
  <c r="AT16" i="2" s="1"/>
  <c r="AA16" i="2"/>
  <c r="AC16" i="2" s="1"/>
  <c r="Z16" i="2"/>
  <c r="AB16" i="2" s="1"/>
  <c r="W16" i="2"/>
  <c r="Y16" i="2" s="1"/>
  <c r="V16" i="2"/>
  <c r="S16" i="2"/>
  <c r="U16" i="2" s="1"/>
  <c r="R16" i="2"/>
  <c r="T16" i="2" s="1"/>
  <c r="O16" i="2"/>
  <c r="AS16" i="2" s="1"/>
  <c r="N16" i="2"/>
  <c r="K16" i="2"/>
  <c r="M16" i="2" s="1"/>
  <c r="J16" i="2"/>
  <c r="L16" i="2" s="1"/>
  <c r="G16" i="2"/>
  <c r="I16" i="2" s="1"/>
  <c r="F16" i="2"/>
  <c r="AM15" i="2"/>
  <c r="AU15" i="2" s="1"/>
  <c r="AJ15" i="2"/>
  <c r="AF15" i="2"/>
  <c r="AA15" i="2"/>
  <c r="Z15" i="2"/>
  <c r="W15" i="2"/>
  <c r="V15" i="2"/>
  <c r="O15" i="2"/>
  <c r="Q15" i="2" s="1"/>
  <c r="N15" i="2"/>
  <c r="P15" i="2" s="1"/>
  <c r="K15" i="2"/>
  <c r="G15" i="2" s="1"/>
  <c r="J15" i="2"/>
  <c r="AT14" i="2"/>
  <c r="AL14" i="2"/>
  <c r="AJ14" i="2"/>
  <c r="AF14" i="2"/>
  <c r="AB14" i="2"/>
  <c r="AA14" i="2"/>
  <c r="Z14" i="2"/>
  <c r="W14" i="2"/>
  <c r="V14" i="2"/>
  <c r="T14" i="2"/>
  <c r="R14" i="2"/>
  <c r="U14" i="2" s="1"/>
  <c r="O14" i="2"/>
  <c r="K14" i="2"/>
  <c r="G14" i="2" s="1"/>
  <c r="J14" i="2"/>
  <c r="M14" i="2" s="1"/>
  <c r="AU13" i="2"/>
  <c r="AS13" i="2"/>
  <c r="AR13" i="2"/>
  <c r="AM13" i="2"/>
  <c r="AO13" i="2" s="1"/>
  <c r="AL13" i="2"/>
  <c r="AN13" i="2" s="1"/>
  <c r="AK13" i="2"/>
  <c r="AJ13" i="2"/>
  <c r="AG13" i="2"/>
  <c r="AF13" i="2"/>
  <c r="AD13" i="2"/>
  <c r="AD18" i="2" s="1"/>
  <c r="AF18" i="2" s="1"/>
  <c r="AA13" i="2"/>
  <c r="AC13" i="2" s="1"/>
  <c r="Z13" i="2"/>
  <c r="Z18" i="2" s="1"/>
  <c r="W13" i="2"/>
  <c r="Y13" i="2" s="1"/>
  <c r="V13" i="2"/>
  <c r="U13" i="2"/>
  <c r="T13" i="2"/>
  <c r="P13" i="2"/>
  <c r="O13" i="2"/>
  <c r="Q13" i="2" s="1"/>
  <c r="N13" i="2"/>
  <c r="M13" i="2"/>
  <c r="K13" i="2"/>
  <c r="J13" i="2"/>
  <c r="L13" i="2" s="1"/>
  <c r="G13" i="2"/>
  <c r="F13" i="2"/>
  <c r="H13" i="2" s="1"/>
  <c r="AL12" i="2"/>
  <c r="AJ12" i="2"/>
  <c r="AG12" i="2"/>
  <c r="AF12" i="2"/>
  <c r="AA12" i="2"/>
  <c r="Z12" i="2"/>
  <c r="AT12" i="2" s="1"/>
  <c r="Y12" i="2"/>
  <c r="X12" i="2"/>
  <c r="W12" i="2"/>
  <c r="V12" i="2"/>
  <c r="S12" i="2"/>
  <c r="R12" i="2"/>
  <c r="AR12" i="2" s="1"/>
  <c r="Q12" i="2"/>
  <c r="P12" i="2"/>
  <c r="O12" i="2"/>
  <c r="O18" i="2" s="1"/>
  <c r="N12" i="2"/>
  <c r="K12" i="2"/>
  <c r="J12" i="2"/>
  <c r="F12" i="2" s="1"/>
  <c r="AU11" i="2"/>
  <c r="AT11" i="2"/>
  <c r="AS11" i="2"/>
  <c r="AR11" i="2"/>
  <c r="AO11" i="2"/>
  <c r="AN11" i="2"/>
  <c r="AK11" i="2"/>
  <c r="AJ11" i="2"/>
  <c r="AG11" i="2"/>
  <c r="AF11" i="2"/>
  <c r="AC11" i="2"/>
  <c r="AB11" i="2"/>
  <c r="Y11" i="2"/>
  <c r="X11" i="2"/>
  <c r="U11" i="2"/>
  <c r="T11" i="2"/>
  <c r="Q11" i="2"/>
  <c r="P11" i="2"/>
  <c r="M11" i="2"/>
  <c r="L11" i="2"/>
  <c r="I11" i="2"/>
  <c r="H11" i="2"/>
  <c r="G11" i="2"/>
  <c r="F11" i="2"/>
  <c r="AU10" i="2"/>
  <c r="AT10" i="2"/>
  <c r="AS10" i="2"/>
  <c r="AR10" i="2"/>
  <c r="AO10" i="2"/>
  <c r="AN10" i="2"/>
  <c r="AK10" i="2"/>
  <c r="AJ10" i="2"/>
  <c r="AG10" i="2"/>
  <c r="AF10" i="2"/>
  <c r="AC10" i="2"/>
  <c r="AB10" i="2"/>
  <c r="Y10" i="2"/>
  <c r="X10" i="2"/>
  <c r="U10" i="2"/>
  <c r="T10" i="2"/>
  <c r="Q10" i="2"/>
  <c r="P10" i="2"/>
  <c r="M10" i="2"/>
  <c r="L10" i="2"/>
  <c r="I10" i="2"/>
  <c r="H10" i="2"/>
  <c r="G10" i="2"/>
  <c r="F10" i="2"/>
  <c r="AI9" i="2"/>
  <c r="AH9" i="2"/>
  <c r="AJ9" i="2" s="1"/>
  <c r="AG9" i="2"/>
  <c r="AF9" i="2"/>
  <c r="AE9" i="2"/>
  <c r="AD9" i="2"/>
  <c r="AA9" i="2"/>
  <c r="R9" i="2"/>
  <c r="AJ8" i="2"/>
  <c r="AF8" i="2"/>
  <c r="AA8" i="2"/>
  <c r="Z8" i="2"/>
  <c r="AC8" i="2" s="1"/>
  <c r="W8" i="2"/>
  <c r="Y8" i="2" s="1"/>
  <c r="V8" i="2"/>
  <c r="X8" i="2" s="1"/>
  <c r="T8" i="2"/>
  <c r="S8" i="2"/>
  <c r="AS8" i="2" s="1"/>
  <c r="R8" i="2"/>
  <c r="P8" i="2"/>
  <c r="L8" i="2"/>
  <c r="G8" i="2"/>
  <c r="I8" i="2" s="1"/>
  <c r="F8" i="2"/>
  <c r="H8" i="2" s="1"/>
  <c r="AU7" i="2"/>
  <c r="AT7" i="2"/>
  <c r="AS7" i="2"/>
  <c r="AR7" i="2"/>
  <c r="AO7" i="2"/>
  <c r="AN7" i="2"/>
  <c r="AK7" i="2"/>
  <c r="AJ7" i="2"/>
  <c r="AG7" i="2"/>
  <c r="AF7" i="2"/>
  <c r="AC7" i="2"/>
  <c r="Y7" i="2"/>
  <c r="U7" i="2"/>
  <c r="Q7" i="2"/>
  <c r="M7" i="2"/>
  <c r="G7" i="2"/>
  <c r="I7" i="2" s="1"/>
  <c r="F7" i="2"/>
  <c r="AL6" i="2"/>
  <c r="AK6" i="2"/>
  <c r="AJ6" i="2"/>
  <c r="AF6" i="2"/>
  <c r="AA6" i="2"/>
  <c r="Z6" i="2"/>
  <c r="Y6" i="2"/>
  <c r="X6" i="2"/>
  <c r="W6" i="2"/>
  <c r="W9" i="2" s="1"/>
  <c r="V6" i="2"/>
  <c r="V9" i="2" s="1"/>
  <c r="U6" i="2"/>
  <c r="S6" i="2"/>
  <c r="S9" i="2" s="1"/>
  <c r="U9" i="2" s="1"/>
  <c r="R6" i="2"/>
  <c r="T6" i="2" s="1"/>
  <c r="O6" i="2"/>
  <c r="N6" i="2"/>
  <c r="N9" i="2" s="1"/>
  <c r="K6" i="2"/>
  <c r="K9" i="2" s="1"/>
  <c r="J6" i="2"/>
  <c r="AO22" i="2" l="1"/>
  <c r="AN22" i="2"/>
  <c r="AT22" i="2"/>
  <c r="V25" i="2"/>
  <c r="H20" i="2"/>
  <c r="AB21" i="2"/>
  <c r="AT24" i="2"/>
  <c r="Y21" i="2"/>
  <c r="AR20" i="2"/>
  <c r="L19" i="2"/>
  <c r="AR21" i="2"/>
  <c r="AF22" i="2"/>
  <c r="M24" i="2"/>
  <c r="Y22" i="2"/>
  <c r="AU21" i="2"/>
  <c r="N25" i="2"/>
  <c r="AB19" i="2"/>
  <c r="L20" i="2"/>
  <c r="AU23" i="2"/>
  <c r="Y23" i="2"/>
  <c r="AO19" i="2"/>
  <c r="X21" i="2"/>
  <c r="H24" i="2"/>
  <c r="AO33" i="2"/>
  <c r="AR33" i="2"/>
  <c r="I32" i="2"/>
  <c r="AG33" i="2"/>
  <c r="F33" i="2"/>
  <c r="I33" i="2" s="1"/>
  <c r="AU33" i="2"/>
  <c r="AN33" i="2"/>
  <c r="Y33" i="2"/>
  <c r="U33" i="2"/>
  <c r="P33" i="2"/>
  <c r="G33" i="2"/>
  <c r="L33" i="2"/>
  <c r="H31" i="2"/>
  <c r="AJ30" i="2"/>
  <c r="T18" i="2"/>
  <c r="AS17" i="2"/>
  <c r="U17" i="2"/>
  <c r="H23" i="2"/>
  <c r="G37" i="2"/>
  <c r="M37" i="2"/>
  <c r="AS68" i="2"/>
  <c r="Q68" i="2"/>
  <c r="P68" i="2"/>
  <c r="V18" i="2"/>
  <c r="X18" i="2" s="1"/>
  <c r="X14" i="2"/>
  <c r="Q16" i="2"/>
  <c r="T17" i="2"/>
  <c r="AK18" i="2"/>
  <c r="U21" i="2"/>
  <c r="M23" i="2"/>
  <c r="G23" i="2"/>
  <c r="I23" i="2" s="1"/>
  <c r="AL23" i="2"/>
  <c r="AN23" i="2" s="1"/>
  <c r="O43" i="2"/>
  <c r="Q42" i="2"/>
  <c r="AS42" i="2"/>
  <c r="AN45" i="2"/>
  <c r="AO45" i="2"/>
  <c r="AH71" i="2"/>
  <c r="AJ66" i="2"/>
  <c r="G67" i="2"/>
  <c r="I67" i="2" s="1"/>
  <c r="M67" i="2"/>
  <c r="L67" i="2"/>
  <c r="AC12" i="2"/>
  <c r="AA18" i="2"/>
  <c r="AM12" i="2"/>
  <c r="I13" i="2"/>
  <c r="Y14" i="2"/>
  <c r="Y15" i="2"/>
  <c r="H16" i="2"/>
  <c r="AF16" i="2"/>
  <c r="H21" i="2"/>
  <c r="T21" i="2"/>
  <c r="L23" i="2"/>
  <c r="I24" i="2"/>
  <c r="X24" i="2"/>
  <c r="J25" i="2"/>
  <c r="AK30" i="2"/>
  <c r="P42" i="2"/>
  <c r="AR47" i="2"/>
  <c r="P47" i="2"/>
  <c r="AU47" i="2"/>
  <c r="AC47" i="2"/>
  <c r="AB47" i="2"/>
  <c r="AS48" i="2"/>
  <c r="Q48" i="2"/>
  <c r="P48" i="2"/>
  <c r="AO49" i="2"/>
  <c r="AU49" i="2"/>
  <c r="AI81" i="2"/>
  <c r="AO67" i="2"/>
  <c r="AM71" i="2"/>
  <c r="AR75" i="2"/>
  <c r="T75" i="2"/>
  <c r="M48" i="2"/>
  <c r="G48" i="2"/>
  <c r="M6" i="2"/>
  <c r="O9" i="2"/>
  <c r="AS6" i="2"/>
  <c r="T9" i="2"/>
  <c r="G17" i="2"/>
  <c r="I17" i="2" s="1"/>
  <c r="M17" i="2"/>
  <c r="AS20" i="2"/>
  <c r="X36" i="2"/>
  <c r="AG43" i="2"/>
  <c r="AF43" i="2"/>
  <c r="X46" i="2"/>
  <c r="Y46" i="2"/>
  <c r="AR46" i="2"/>
  <c r="AS47" i="2"/>
  <c r="Q47" i="2"/>
  <c r="AL63" i="2"/>
  <c r="AN61" i="2"/>
  <c r="G6" i="2"/>
  <c r="P6" i="2"/>
  <c r="AM6" i="2"/>
  <c r="AN6" i="2" s="1"/>
  <c r="AM8" i="2"/>
  <c r="AO8" i="2" s="1"/>
  <c r="U12" i="2"/>
  <c r="S18" i="2"/>
  <c r="U18" i="2" s="1"/>
  <c r="I14" i="2"/>
  <c r="AM14" i="2"/>
  <c r="AO14" i="2" s="1"/>
  <c r="AU14" i="2"/>
  <c r="AS14" i="2"/>
  <c r="AC14" i="2"/>
  <c r="F15" i="2"/>
  <c r="I15" i="2" s="1"/>
  <c r="L15" i="2"/>
  <c r="X16" i="2"/>
  <c r="L17" i="2"/>
  <c r="T20" i="2"/>
  <c r="L21" i="2"/>
  <c r="Q23" i="2"/>
  <c r="AS23" i="2"/>
  <c r="AM24" i="2"/>
  <c r="AO24" i="2" s="1"/>
  <c r="AC24" i="2"/>
  <c r="AU24" i="2"/>
  <c r="AO34" i="2"/>
  <c r="AN34" i="2"/>
  <c r="AU34" i="2"/>
  <c r="G36" i="2"/>
  <c r="H36" i="2" s="1"/>
  <c r="M36" i="2"/>
  <c r="L36" i="2"/>
  <c r="M46" i="2"/>
  <c r="G46" i="2"/>
  <c r="L46" i="2"/>
  <c r="AU61" i="2"/>
  <c r="AA63" i="2"/>
  <c r="AC61" i="2"/>
  <c r="AB61" i="2"/>
  <c r="Q6" i="2"/>
  <c r="AT6" i="2"/>
  <c r="AB6" i="2"/>
  <c r="AB8" i="2"/>
  <c r="X9" i="2"/>
  <c r="F18" i="2"/>
  <c r="AM17" i="2"/>
  <c r="AO17" i="2" s="1"/>
  <c r="AU17" i="2"/>
  <c r="AC17" i="2"/>
  <c r="R25" i="2"/>
  <c r="U25" i="2" s="1"/>
  <c r="AS24" i="2"/>
  <c r="Q24" i="2"/>
  <c r="AS33" i="2"/>
  <c r="Q33" i="2"/>
  <c r="AM40" i="2"/>
  <c r="AU40" i="2" s="1"/>
  <c r="I42" i="2"/>
  <c r="AU20" i="2"/>
  <c r="AC20" i="2"/>
  <c r="L22" i="2"/>
  <c r="F22" i="2"/>
  <c r="H22" i="2" s="1"/>
  <c r="P43" i="2"/>
  <c r="AR43" i="2"/>
  <c r="W79" i="2"/>
  <c r="Y72" i="2"/>
  <c r="AT75" i="2"/>
  <c r="AB75" i="2"/>
  <c r="AM25" i="2"/>
  <c r="AR8" i="2"/>
  <c r="N14" i="2"/>
  <c r="Q14" i="2" s="1"/>
  <c r="F14" i="2"/>
  <c r="H14" i="2" s="1"/>
  <c r="L14" i="2"/>
  <c r="AT15" i="2"/>
  <c r="AC15" i="2"/>
  <c r="AT19" i="2"/>
  <c r="Z25" i="2"/>
  <c r="AC23" i="2"/>
  <c r="AR6" i="2"/>
  <c r="Y9" i="2"/>
  <c r="AK9" i="2"/>
  <c r="G12" i="2"/>
  <c r="G18" i="2" s="1"/>
  <c r="I18" i="2" s="1"/>
  <c r="M12" i="2"/>
  <c r="K18" i="2"/>
  <c r="W18" i="2"/>
  <c r="AL18" i="2"/>
  <c r="X13" i="2"/>
  <c r="M15" i="2"/>
  <c r="Q17" i="2"/>
  <c r="AB17" i="2"/>
  <c r="J18" i="2"/>
  <c r="L18" i="2" s="1"/>
  <c r="Y37" i="2"/>
  <c r="X37" i="2"/>
  <c r="W40" i="2"/>
  <c r="P79" i="2"/>
  <c r="AO15" i="2"/>
  <c r="AL8" i="2"/>
  <c r="AT8" i="2"/>
  <c r="F6" i="2"/>
  <c r="L6" i="2"/>
  <c r="AC6" i="2"/>
  <c r="J9" i="2"/>
  <c r="L9" i="2" s="1"/>
  <c r="Z9" i="2"/>
  <c r="AN12" i="2"/>
  <c r="AB13" i="2"/>
  <c r="AT13" i="2"/>
  <c r="AL15" i="2"/>
  <c r="AN15" i="2" s="1"/>
  <c r="AR16" i="2"/>
  <c r="P16" i="2"/>
  <c r="AG18" i="2"/>
  <c r="T19" i="2"/>
  <c r="AR23" i="2"/>
  <c r="V40" i="2"/>
  <c r="X40" i="2" s="1"/>
  <c r="F37" i="2"/>
  <c r="H37" i="2" s="1"/>
  <c r="L37" i="2"/>
  <c r="AL38" i="2"/>
  <c r="AN38" i="2" s="1"/>
  <c r="AB38" i="2"/>
  <c r="AT38" i="2"/>
  <c r="AR38" i="2"/>
  <c r="M43" i="2"/>
  <c r="L48" i="2"/>
  <c r="F48" i="2"/>
  <c r="H48" i="2" s="1"/>
  <c r="AO50" i="2"/>
  <c r="AU50" i="2"/>
  <c r="G79" i="2"/>
  <c r="I72" i="2"/>
  <c r="V79" i="2"/>
  <c r="AO79" i="2"/>
  <c r="AM80" i="2"/>
  <c r="K25" i="2"/>
  <c r="M25" i="2" s="1"/>
  <c r="AA25" i="2"/>
  <c r="AS22" i="2"/>
  <c r="P24" i="2"/>
  <c r="AR24" i="2"/>
  <c r="Q35" i="2"/>
  <c r="P35" i="2"/>
  <c r="R43" i="2"/>
  <c r="T43" i="2" s="1"/>
  <c r="T42" i="2"/>
  <c r="AN49" i="2"/>
  <c r="AR50" i="2"/>
  <c r="P50" i="2"/>
  <c r="I69" i="2"/>
  <c r="L12" i="2"/>
  <c r="T12" i="2"/>
  <c r="AB12" i="2"/>
  <c r="AR15" i="2"/>
  <c r="M19" i="2"/>
  <c r="U19" i="2"/>
  <c r="AC19" i="2"/>
  <c r="AR19" i="2"/>
  <c r="M21" i="2"/>
  <c r="AC21" i="2"/>
  <c r="P22" i="2"/>
  <c r="AB24" i="2"/>
  <c r="F34" i="2"/>
  <c r="L34" i="2"/>
  <c r="I35" i="2"/>
  <c r="H35" i="2"/>
  <c r="AS37" i="2"/>
  <c r="Q38" i="2"/>
  <c r="P38" i="2"/>
  <c r="Z40" i="2"/>
  <c r="AC40" i="2" s="1"/>
  <c r="U43" i="2"/>
  <c r="K60" i="2"/>
  <c r="AS49" i="2"/>
  <c r="Q79" i="2"/>
  <c r="AS15" i="2"/>
  <c r="AS19" i="2"/>
  <c r="AD30" i="2"/>
  <c r="AR35" i="2"/>
  <c r="X35" i="2"/>
  <c r="AR36" i="2"/>
  <c r="J40" i="2"/>
  <c r="L40" i="2" s="1"/>
  <c r="AG40" i="2"/>
  <c r="G43" i="2"/>
  <c r="I41" i="2"/>
  <c r="J43" i="2"/>
  <c r="L43" i="2" s="1"/>
  <c r="F42" i="2"/>
  <c r="L42" i="2"/>
  <c r="W43" i="2"/>
  <c r="Y43" i="2" s="1"/>
  <c r="Y42" i="2"/>
  <c r="AN42" i="2"/>
  <c r="AL43" i="2"/>
  <c r="I47" i="2"/>
  <c r="H47" i="2"/>
  <c r="AS12" i="2"/>
  <c r="G19" i="2"/>
  <c r="H19" i="2" s="1"/>
  <c r="O25" i="2"/>
  <c r="W25" i="2"/>
  <c r="AF19" i="2"/>
  <c r="AU22" i="2"/>
  <c r="AE30" i="2"/>
  <c r="H32" i="2"/>
  <c r="M33" i="2"/>
  <c r="X33" i="2"/>
  <c r="N40" i="2"/>
  <c r="Q40" i="2" s="1"/>
  <c r="AO35" i="2"/>
  <c r="Q36" i="2"/>
  <c r="H41" i="2"/>
  <c r="M42" i="2"/>
  <c r="X42" i="2"/>
  <c r="X43" i="2"/>
  <c r="Y63" i="2"/>
  <c r="X63" i="2"/>
  <c r="P19" i="2"/>
  <c r="X19" i="2"/>
  <c r="AU19" i="2"/>
  <c r="AN21" i="2"/>
  <c r="L24" i="2"/>
  <c r="AJ25" i="2"/>
  <c r="AT33" i="2"/>
  <c r="AB33" i="2"/>
  <c r="AS34" i="2"/>
  <c r="Q34" i="2"/>
  <c r="AL40" i="2"/>
  <c r="AN40" i="2" s="1"/>
  <c r="Y35" i="2"/>
  <c r="AS35" i="2"/>
  <c r="AR42" i="2"/>
  <c r="Z43" i="2"/>
  <c r="AB42" i="2"/>
  <c r="AT42" i="2"/>
  <c r="AU45" i="2"/>
  <c r="AS45" i="2"/>
  <c r="AC45" i="2"/>
  <c r="AB45" i="2"/>
  <c r="Y59" i="2"/>
  <c r="X59" i="2"/>
  <c r="L44" i="2"/>
  <c r="J60" i="2"/>
  <c r="L60" i="2" s="1"/>
  <c r="V60" i="2"/>
  <c r="X60" i="2" s="1"/>
  <c r="AD60" i="2"/>
  <c r="AF46" i="2"/>
  <c r="AT47" i="2"/>
  <c r="AT49" i="2"/>
  <c r="AB49" i="2"/>
  <c r="AS50" i="2"/>
  <c r="Q50" i="2"/>
  <c r="H51" i="2"/>
  <c r="H56" i="2"/>
  <c r="AO58" i="2"/>
  <c r="AN58" i="2"/>
  <c r="Q59" i="2"/>
  <c r="P59" i="2"/>
  <c r="AR59" i="2"/>
  <c r="AS61" i="2"/>
  <c r="K65" i="2"/>
  <c r="G64" i="2"/>
  <c r="G65" i="2" s="1"/>
  <c r="AO71" i="2"/>
  <c r="AN67" i="2"/>
  <c r="AJ69" i="2"/>
  <c r="Z79" i="2"/>
  <c r="H76" i="2"/>
  <c r="AU75" i="2"/>
  <c r="AC75" i="2"/>
  <c r="K40" i="2"/>
  <c r="AM42" i="2"/>
  <c r="AM60" i="2"/>
  <c r="AO60" i="2" s="1"/>
  <c r="R60" i="2"/>
  <c r="T60" i="2" s="1"/>
  <c r="U47" i="2"/>
  <c r="AT58" i="2"/>
  <c r="AC58" i="2"/>
  <c r="AB58" i="2"/>
  <c r="O71" i="2"/>
  <c r="O80" i="2"/>
  <c r="AD80" i="2"/>
  <c r="Y74" i="2"/>
  <c r="AS75" i="2"/>
  <c r="U75" i="2"/>
  <c r="N60" i="2"/>
  <c r="AN44" i="2"/>
  <c r="F45" i="2"/>
  <c r="T47" i="2"/>
  <c r="I50" i="2"/>
  <c r="Y56" i="2"/>
  <c r="AL65" i="2"/>
  <c r="AO64" i="2"/>
  <c r="AO65" i="2" s="1"/>
  <c r="AN64" i="2"/>
  <c r="AN65" i="2" s="1"/>
  <c r="AT67" i="2"/>
  <c r="AF67" i="2"/>
  <c r="I68" i="2"/>
  <c r="AR69" i="2"/>
  <c r="P69" i="2"/>
  <c r="AU69" i="2"/>
  <c r="AT73" i="2"/>
  <c r="AN73" i="2"/>
  <c r="AR74" i="2"/>
  <c r="P74" i="2"/>
  <c r="AE80" i="2"/>
  <c r="AC33" i="2"/>
  <c r="AR34" i="2"/>
  <c r="AB35" i="2"/>
  <c r="AN36" i="2"/>
  <c r="P37" i="2"/>
  <c r="AC42" i="2"/>
  <c r="F44" i="2"/>
  <c r="O60" i="2"/>
  <c r="AA60" i="2"/>
  <c r="AB60" i="2" s="1"/>
  <c r="AU44" i="2"/>
  <c r="AO44" i="2"/>
  <c r="AT45" i="2"/>
  <c r="AT46" i="2"/>
  <c r="L47" i="2"/>
  <c r="AB48" i="2"/>
  <c r="AN48" i="2"/>
  <c r="AT59" i="2"/>
  <c r="AG59" i="2"/>
  <c r="AF59" i="2"/>
  <c r="M63" i="2"/>
  <c r="M64" i="2" s="1"/>
  <c r="M65" i="2" s="1"/>
  <c r="AU67" i="2"/>
  <c r="AG67" i="2"/>
  <c r="AE71" i="2"/>
  <c r="AG71" i="2" s="1"/>
  <c r="AO68" i="2"/>
  <c r="AN68" i="2"/>
  <c r="Q69" i="2"/>
  <c r="AS69" i="2"/>
  <c r="AN71" i="2"/>
  <c r="R79" i="2"/>
  <c r="AR76" i="2"/>
  <c r="P76" i="2"/>
  <c r="AU73" i="2"/>
  <c r="AO73" i="2"/>
  <c r="AS74" i="2"/>
  <c r="Q74" i="2"/>
  <c r="AF79" i="2"/>
  <c r="AK43" i="2"/>
  <c r="G60" i="2"/>
  <c r="P44" i="2"/>
  <c r="AR44" i="2"/>
  <c r="AT50" i="2"/>
  <c r="AN50" i="2"/>
  <c r="AR56" i="2"/>
  <c r="I59" i="2"/>
  <c r="AM63" i="2"/>
  <c r="AO63" i="2" s="1"/>
  <c r="AO61" i="2"/>
  <c r="W65" i="2"/>
  <c r="Y64" i="2"/>
  <c r="Y65" i="2" s="1"/>
  <c r="AU64" i="2"/>
  <c r="L71" i="2"/>
  <c r="T71" i="2"/>
  <c r="N71" i="2"/>
  <c r="F80" i="2"/>
  <c r="AS72" i="2"/>
  <c r="AT72" i="2"/>
  <c r="AL79" i="2"/>
  <c r="AO72" i="2"/>
  <c r="AN72" i="2"/>
  <c r="H74" i="2"/>
  <c r="H79" i="2"/>
  <c r="AH80" i="2"/>
  <c r="AJ79" i="2"/>
  <c r="AT56" i="2"/>
  <c r="AH60" i="2"/>
  <c r="N63" i="2"/>
  <c r="O65" i="2"/>
  <c r="AA65" i="2"/>
  <c r="AT66" i="2"/>
  <c r="W71" i="2"/>
  <c r="X71" i="2" s="1"/>
  <c r="J79" i="2"/>
  <c r="O63" i="2"/>
  <c r="Z63" i="2"/>
  <c r="F64" i="2"/>
  <c r="F65" i="2" s="1"/>
  <c r="F66" i="2"/>
  <c r="F71" i="2" s="1"/>
  <c r="AU66" i="2"/>
  <c r="K79" i="2"/>
  <c r="S79" i="2"/>
  <c r="AA79" i="2"/>
  <c r="G66" i="2"/>
  <c r="H75" i="2"/>
  <c r="H78" i="2"/>
  <c r="X61" i="2"/>
  <c r="AT61" i="2"/>
  <c r="P64" i="2"/>
  <c r="P65" i="2" s="1"/>
  <c r="AB64" i="2"/>
  <c r="AB65" i="2" s="1"/>
  <c r="AR64" i="2"/>
  <c r="AH65" i="2"/>
  <c r="P67" i="2"/>
  <c r="AS67" i="2"/>
  <c r="L68" i="2"/>
  <c r="Z71" i="2"/>
  <c r="Q72" i="2"/>
  <c r="AR72" i="2"/>
  <c r="Q64" i="2"/>
  <c r="Q65" i="2" s="1"/>
  <c r="AN66" i="2"/>
  <c r="AT23" i="2" l="1"/>
  <c r="F25" i="2"/>
  <c r="AN24" i="2"/>
  <c r="AL25" i="2"/>
  <c r="AN25" i="2" s="1"/>
  <c r="H33" i="2"/>
  <c r="AF30" i="2"/>
  <c r="AE81" i="2"/>
  <c r="L79" i="2"/>
  <c r="J80" i="2"/>
  <c r="AB79" i="2"/>
  <c r="AT79" i="2"/>
  <c r="Z80" i="2"/>
  <c r="F40" i="2"/>
  <c r="H34" i="2"/>
  <c r="H18" i="2"/>
  <c r="AH81" i="2"/>
  <c r="AJ81" i="2" s="1"/>
  <c r="AJ80" i="2"/>
  <c r="I34" i="2"/>
  <c r="I48" i="2"/>
  <c r="L25" i="2"/>
  <c r="Y25" i="2"/>
  <c r="X25" i="2"/>
  <c r="N18" i="2"/>
  <c r="AB9" i="2"/>
  <c r="AM18" i="2"/>
  <c r="AO18" i="2" s="1"/>
  <c r="AO12" i="2"/>
  <c r="AU12" i="2"/>
  <c r="AN14" i="2"/>
  <c r="F9" i="2"/>
  <c r="H6" i="2"/>
  <c r="T79" i="2"/>
  <c r="R80" i="2"/>
  <c r="I43" i="2"/>
  <c r="Q71" i="2"/>
  <c r="P71" i="2"/>
  <c r="F60" i="2"/>
  <c r="H60" i="2" s="1"/>
  <c r="I44" i="2"/>
  <c r="H44" i="2"/>
  <c r="AF80" i="2"/>
  <c r="AD81" i="2"/>
  <c r="AT25" i="2"/>
  <c r="AB25" i="2"/>
  <c r="AC63" i="2"/>
  <c r="AU63" i="2"/>
  <c r="AS43" i="2"/>
  <c r="Q43" i="2"/>
  <c r="AB71" i="2"/>
  <c r="AC71" i="2"/>
  <c r="AO42" i="2"/>
  <c r="AM43" i="2"/>
  <c r="AS25" i="2"/>
  <c r="Q25" i="2"/>
  <c r="P25" i="2"/>
  <c r="V80" i="2"/>
  <c r="X79" i="2"/>
  <c r="G9" i="2"/>
  <c r="I9" i="2" s="1"/>
  <c r="I6" i="2"/>
  <c r="I22" i="2"/>
  <c r="AT43" i="2"/>
  <c r="AB43" i="2"/>
  <c r="AC43" i="2"/>
  <c r="G25" i="2"/>
  <c r="I25" i="2" s="1"/>
  <c r="I19" i="2"/>
  <c r="AG60" i="2"/>
  <c r="AF60" i="2"/>
  <c r="Y71" i="2"/>
  <c r="I79" i="2"/>
  <c r="Y40" i="2"/>
  <c r="AN18" i="2"/>
  <c r="I46" i="2"/>
  <c r="H46" i="2"/>
  <c r="AN63" i="2"/>
  <c r="AR79" i="2"/>
  <c r="AU18" i="2"/>
  <c r="AC18" i="2"/>
  <c r="AS18" i="2"/>
  <c r="AR9" i="2"/>
  <c r="I45" i="2"/>
  <c r="H45" i="2"/>
  <c r="AU42" i="2"/>
  <c r="AO25" i="2"/>
  <c r="M40" i="2"/>
  <c r="AB63" i="2"/>
  <c r="AT63" i="2"/>
  <c r="AK60" i="2"/>
  <c r="AJ60" i="2"/>
  <c r="AN79" i="2"/>
  <c r="AL80" i="2"/>
  <c r="U60" i="2"/>
  <c r="AR60" i="2"/>
  <c r="P60" i="2"/>
  <c r="P40" i="2"/>
  <c r="AR40" i="2"/>
  <c r="AF71" i="2"/>
  <c r="H42" i="2"/>
  <c r="F43" i="2"/>
  <c r="H43" i="2" s="1"/>
  <c r="Y18" i="2"/>
  <c r="AS40" i="2"/>
  <c r="AC9" i="2"/>
  <c r="AN17" i="2"/>
  <c r="N80" i="2"/>
  <c r="AN60" i="2"/>
  <c r="H17" i="2"/>
  <c r="I37" i="2"/>
  <c r="AB18" i="2"/>
  <c r="M9" i="2"/>
  <c r="AC79" i="2"/>
  <c r="AU79" i="2"/>
  <c r="AA80" i="2"/>
  <c r="AU60" i="2"/>
  <c r="AC60" i="2"/>
  <c r="P14" i="2"/>
  <c r="AR14" i="2"/>
  <c r="U79" i="2"/>
  <c r="S80" i="2"/>
  <c r="AS79" i="2"/>
  <c r="AS60" i="2"/>
  <c r="Q60" i="2"/>
  <c r="AN43" i="2"/>
  <c r="AT40" i="2"/>
  <c r="AB40" i="2"/>
  <c r="I12" i="2"/>
  <c r="H12" i="2"/>
  <c r="AO40" i="2"/>
  <c r="I36" i="2"/>
  <c r="G40" i="2"/>
  <c r="I40" i="2" s="1"/>
  <c r="AM9" i="2"/>
  <c r="AO6" i="2"/>
  <c r="AU6" i="2"/>
  <c r="M79" i="2"/>
  <c r="K80" i="2"/>
  <c r="AG30" i="2"/>
  <c r="AN8" i="2"/>
  <c r="AL9" i="2"/>
  <c r="AN9" i="2" s="1"/>
  <c r="Q80" i="2"/>
  <c r="T25" i="2"/>
  <c r="AR25" i="2"/>
  <c r="AR63" i="2"/>
  <c r="P63" i="2"/>
  <c r="I66" i="2"/>
  <c r="G71" i="2"/>
  <c r="G80" i="2" s="1"/>
  <c r="Q63" i="2"/>
  <c r="AS63" i="2"/>
  <c r="AT60" i="2"/>
  <c r="M60" i="2"/>
  <c r="AU25" i="2"/>
  <c r="AC25" i="2"/>
  <c r="M18" i="2"/>
  <c r="W80" i="2"/>
  <c r="Y79" i="2"/>
  <c r="AU8" i="2"/>
  <c r="AS9" i="2"/>
  <c r="Q9" i="2"/>
  <c r="P9" i="2"/>
  <c r="Y60" i="2"/>
  <c r="AT18" i="2"/>
  <c r="AO23" i="2"/>
  <c r="AF81" i="2" l="1"/>
  <c r="I80" i="2"/>
  <c r="H80" i="2"/>
  <c r="H25" i="2"/>
  <c r="H40" i="2"/>
  <c r="AT80" i="2"/>
  <c r="AB80" i="2"/>
  <c r="H71" i="2"/>
  <c r="H9" i="2"/>
  <c r="Y80" i="2"/>
  <c r="M80" i="2"/>
  <c r="AC80" i="2"/>
  <c r="AR80" i="2"/>
  <c r="P80" i="2"/>
  <c r="I71" i="2"/>
  <c r="I60" i="2"/>
  <c r="AG81" i="2"/>
  <c r="T80" i="2"/>
  <c r="AO43" i="2"/>
  <c r="AU43" i="2"/>
  <c r="AT9" i="2"/>
  <c r="L80" i="2"/>
  <c r="AN80" i="2"/>
  <c r="X80" i="2"/>
  <c r="AO80" i="2"/>
  <c r="AO9" i="2"/>
  <c r="AU9" i="2"/>
  <c r="U80" i="2"/>
  <c r="P18" i="2"/>
  <c r="AR18" i="2"/>
  <c r="Q18" i="2"/>
  <c r="W26" i="2" l="1"/>
  <c r="V26" i="2"/>
  <c r="V27" i="2"/>
  <c r="R27" i="2"/>
  <c r="X26" i="2" l="1"/>
  <c r="Y26" i="2"/>
  <c r="R26" i="2" l="1"/>
  <c r="AA26" i="2"/>
  <c r="Z26" i="2"/>
  <c r="AB26" i="2" l="1"/>
  <c r="AC26" i="2"/>
  <c r="AL26" i="2"/>
  <c r="AT26" i="2" s="1"/>
  <c r="J26" i="2" l="1"/>
  <c r="F26" i="2" l="1"/>
  <c r="AA29" i="2"/>
  <c r="W29" i="2"/>
  <c r="S29" i="2"/>
  <c r="O29" i="2"/>
  <c r="K29" i="2"/>
  <c r="Z29" i="2"/>
  <c r="V29" i="2"/>
  <c r="R29" i="2"/>
  <c r="J29" i="2"/>
  <c r="W28" i="2"/>
  <c r="Y28" i="2" s="1"/>
  <c r="S28" i="2"/>
  <c r="O28" i="2"/>
  <c r="K28" i="2"/>
  <c r="Z28" i="2"/>
  <c r="V28" i="2"/>
  <c r="R28" i="2"/>
  <c r="N28" i="2"/>
  <c r="J28" i="2"/>
  <c r="S26" i="2"/>
  <c r="O26" i="2"/>
  <c r="N26" i="2"/>
  <c r="AA27" i="2"/>
  <c r="Z27" i="2"/>
  <c r="W27" i="2"/>
  <c r="S27" i="2"/>
  <c r="O27" i="2"/>
  <c r="J27" i="2"/>
  <c r="J30" i="2" l="1"/>
  <c r="X29" i="2"/>
  <c r="T29" i="2"/>
  <c r="J81" i="2"/>
  <c r="M28" i="2"/>
  <c r="G28" i="2"/>
  <c r="I28" i="2" s="1"/>
  <c r="AC29" i="2"/>
  <c r="AB29" i="2"/>
  <c r="Y27" i="2"/>
  <c r="W30" i="2"/>
  <c r="X27" i="2"/>
  <c r="T28" i="2"/>
  <c r="U28" i="2"/>
  <c r="M29" i="2"/>
  <c r="G29" i="2"/>
  <c r="I29" i="2" s="1"/>
  <c r="N27" i="2"/>
  <c r="AS29" i="2"/>
  <c r="U26" i="2"/>
  <c r="S30" i="2"/>
  <c r="T26" i="2"/>
  <c r="Q28" i="2"/>
  <c r="AS28" i="2"/>
  <c r="AB27" i="2"/>
  <c r="Z30" i="2"/>
  <c r="P28" i="2"/>
  <c r="AR28" i="2"/>
  <c r="AM28" i="2"/>
  <c r="AA28" i="2"/>
  <c r="AB28" i="2" s="1"/>
  <c r="U29" i="2"/>
  <c r="F27" i="2"/>
  <c r="K26" i="2"/>
  <c r="L29" i="2"/>
  <c r="F29" i="2"/>
  <c r="Y29" i="2"/>
  <c r="Q26" i="2"/>
  <c r="O30" i="2"/>
  <c r="AS26" i="2"/>
  <c r="AS27" i="2"/>
  <c r="Q27" i="2"/>
  <c r="U27" i="2"/>
  <c r="T27" i="2"/>
  <c r="L28" i="2"/>
  <c r="F28" i="2"/>
  <c r="AC27" i="2"/>
  <c r="AA30" i="2"/>
  <c r="R30" i="2"/>
  <c r="K27" i="2"/>
  <c r="L27" i="2" s="1"/>
  <c r="AR26" i="2"/>
  <c r="P26" i="2"/>
  <c r="X28" i="2"/>
  <c r="V30" i="2"/>
  <c r="N29" i="2"/>
  <c r="AL29" i="2"/>
  <c r="AT29" i="2" s="1"/>
  <c r="AR29" i="2" l="1"/>
  <c r="P29" i="2"/>
  <c r="U30" i="2"/>
  <c r="S81" i="2"/>
  <c r="T30" i="2"/>
  <c r="R81" i="2"/>
  <c r="X30" i="2"/>
  <c r="V81" i="2"/>
  <c r="X81" i="2" s="1"/>
  <c r="AB30" i="2"/>
  <c r="Z81" i="2"/>
  <c r="M26" i="2"/>
  <c r="K30" i="2"/>
  <c r="G26" i="2"/>
  <c r="L26" i="2"/>
  <c r="AC30" i="2"/>
  <c r="AA81" i="2"/>
  <c r="AM29" i="2"/>
  <c r="AL28" i="2"/>
  <c r="Q29" i="2"/>
  <c r="N30" i="2"/>
  <c r="AS30" i="2"/>
  <c r="O81" i="2"/>
  <c r="H28" i="2"/>
  <c r="F30" i="2"/>
  <c r="Y30" i="2"/>
  <c r="W81" i="2"/>
  <c r="AN29" i="2"/>
  <c r="AC28" i="2"/>
  <c r="AU28" i="2"/>
  <c r="P27" i="2"/>
  <c r="AR27" i="2"/>
  <c r="M27" i="2"/>
  <c r="G27" i="2"/>
  <c r="I27" i="2" s="1"/>
  <c r="H29" i="2"/>
  <c r="AO28" i="2"/>
  <c r="T81" i="2" l="1"/>
  <c r="H27" i="2"/>
  <c r="AS81" i="2"/>
  <c r="AN28" i="2"/>
  <c r="AT28" i="2"/>
  <c r="I26" i="2"/>
  <c r="G30" i="2"/>
  <c r="H26" i="2"/>
  <c r="M30" i="2"/>
  <c r="K81" i="2"/>
  <c r="L30" i="2"/>
  <c r="Q30" i="2"/>
  <c r="AR30" i="2"/>
  <c r="P30" i="2"/>
  <c r="N81" i="2"/>
  <c r="AO29" i="2"/>
  <c r="AU29" i="2"/>
  <c r="U81" i="2"/>
  <c r="AC83" i="2"/>
  <c r="AB81" i="2"/>
  <c r="Y81" i="2"/>
  <c r="AC81" i="2"/>
  <c r="F81" i="2"/>
  <c r="I30" i="2" l="1"/>
  <c r="G81" i="2"/>
  <c r="I81" i="2" s="1"/>
  <c r="P81" i="2"/>
  <c r="AR81" i="2"/>
  <c r="Q81" i="2"/>
  <c r="M81" i="2"/>
  <c r="L81" i="2"/>
  <c r="H30" i="2"/>
  <c r="H81" i="2" l="1"/>
  <c r="AM26" i="2"/>
  <c r="AO26" i="2" l="1"/>
  <c r="AU26" i="2"/>
  <c r="AN26" i="2"/>
  <c r="AM27" i="2" l="1"/>
  <c r="AL27" i="2"/>
  <c r="AN27" i="2" l="1"/>
  <c r="AL30" i="2"/>
  <c r="AT27" i="2"/>
  <c r="AO27" i="2"/>
  <c r="AU27" i="2"/>
  <c r="AM30" i="2"/>
  <c r="AO30" i="2" l="1"/>
  <c r="AM81" i="2"/>
  <c r="AU30" i="2"/>
  <c r="AN30" i="2"/>
  <c r="AL81" i="2"/>
  <c r="AT30" i="2"/>
  <c r="AO81" i="2" l="1"/>
  <c r="AU81" i="2"/>
  <c r="AO83" i="2"/>
  <c r="AN81" i="2"/>
  <c r="AT81" i="2"/>
</calcChain>
</file>

<file path=xl/sharedStrings.xml><?xml version="1.0" encoding="utf-8"?>
<sst xmlns="http://schemas.openxmlformats.org/spreadsheetml/2006/main" count="260" uniqueCount="158">
  <si>
    <t>Dec Ending companies</t>
  </si>
  <si>
    <t>Month</t>
  </si>
  <si>
    <t>Mar Ending companies</t>
  </si>
  <si>
    <t>Sector</t>
  </si>
  <si>
    <t>Sub Sector</t>
  </si>
  <si>
    <t>Y/E</t>
  </si>
  <si>
    <t xml:space="preserve">Company Name </t>
  </si>
  <si>
    <t>Other Income</t>
  </si>
  <si>
    <t>Comment</t>
  </si>
  <si>
    <t>Liner</t>
  </si>
  <si>
    <t>Shipping and Marine</t>
  </si>
  <si>
    <t>Mar</t>
  </si>
  <si>
    <t>ONE Lanka</t>
  </si>
  <si>
    <t>Dec</t>
  </si>
  <si>
    <t>MSC Lanka (Pvt) Ltd</t>
  </si>
  <si>
    <t>UMI Shipping</t>
  </si>
  <si>
    <t>Total Liner Cluster</t>
  </si>
  <si>
    <t>Ship Supply services</t>
  </si>
  <si>
    <t>Interocean Services Limited</t>
  </si>
  <si>
    <t>Amos International Lanka (Pvt) Ltd</t>
  </si>
  <si>
    <t>Continental Tech</t>
  </si>
  <si>
    <t>Interocean Marine Agencies (Pvt) Ltd</t>
  </si>
  <si>
    <t>Interocean Ship Management (Pvt) Ltd (Gulf Synergy)</t>
  </si>
  <si>
    <t>Interocean Logistics (Pvt) Ltd  (Former McLarens Marine Services)</t>
  </si>
  <si>
    <t>World Subsea Services (Pvt) Ltd</t>
  </si>
  <si>
    <t>Total Ship supply Services Cluster</t>
  </si>
  <si>
    <t>Swift Shipping Services (Pvt) Ltd</t>
  </si>
  <si>
    <t>United Maritime (Pvt) Ltd</t>
  </si>
  <si>
    <t>Shermans Logistics (Pvt) Ltd</t>
  </si>
  <si>
    <t>M O L Logistics Lanka (Pvt) Ltd</t>
  </si>
  <si>
    <t>C.H. Robinson Worldwide Freight Lanka (Pvt) Ltd</t>
  </si>
  <si>
    <t>Gac Group</t>
  </si>
  <si>
    <t>GAC Marine Services (Pvt) Ltd</t>
  </si>
  <si>
    <t>GAC Shipping Limited</t>
  </si>
  <si>
    <t xml:space="preserve">McLarens Shipping Ltd </t>
  </si>
  <si>
    <t>Ship supplies and services</t>
  </si>
  <si>
    <t>GAC Logistics Ltd</t>
  </si>
  <si>
    <t>Total Gac Group</t>
  </si>
  <si>
    <t>Spectra</t>
  </si>
  <si>
    <t>Spectra Logistics (Pvt) Ltd</t>
  </si>
  <si>
    <t>Spectra Integrated Logistics (Pvt) Ltd</t>
  </si>
  <si>
    <t>Total Spectra</t>
  </si>
  <si>
    <t>Renewables &amp; bunkering</t>
  </si>
  <si>
    <t>Logistics</t>
  </si>
  <si>
    <t>Interocean Energy (Pvt) Ltd</t>
  </si>
  <si>
    <t>Mc Marine (Pvt) Ltd</t>
  </si>
  <si>
    <t>Colombo Bunkering Services (Pvt) Ltd</t>
  </si>
  <si>
    <t>Ocean Lanka Bunkering Services (Pvt) Ltd</t>
  </si>
  <si>
    <t>Maya Fuels</t>
  </si>
  <si>
    <t>McBay</t>
  </si>
  <si>
    <t>Total Renewbles &amp; Bunkering Cluster</t>
  </si>
  <si>
    <t>Hotels+ Leisure</t>
  </si>
  <si>
    <t>Topaz Hotels Limited</t>
  </si>
  <si>
    <t>Renewable Energy</t>
  </si>
  <si>
    <t>Silk Route Foods (Pvt) Ltd</t>
  </si>
  <si>
    <t>Mclarnes Maritime Academy</t>
  </si>
  <si>
    <t>Leisure</t>
  </si>
  <si>
    <t>Total Hotel + Leisure</t>
  </si>
  <si>
    <t>Property Development</t>
  </si>
  <si>
    <t>Mcoean Property Developers</t>
  </si>
  <si>
    <t xml:space="preserve">United Shipping Agencies </t>
  </si>
  <si>
    <t>Mclarnes Developers Ltd</t>
  </si>
  <si>
    <t>Mclarnes Automotive Ltd</t>
  </si>
  <si>
    <t>Jays Auto</t>
  </si>
  <si>
    <t>Velocitec</t>
  </si>
  <si>
    <t>Interocean Property (Pvt) Ltd</t>
  </si>
  <si>
    <t>Interocean Developments (Pvt) Ltd</t>
  </si>
  <si>
    <t>McLarens Property (Pvt) Ltd</t>
  </si>
  <si>
    <t>United Property Holdings (Pvt) Ltd</t>
  </si>
  <si>
    <t>Interocean Automobile (Pvt) Ltd</t>
  </si>
  <si>
    <t>Contship</t>
  </si>
  <si>
    <t xml:space="preserve">Shipping Agency House </t>
  </si>
  <si>
    <t>Galle Agency House</t>
  </si>
  <si>
    <t>Total Property Cluster</t>
  </si>
  <si>
    <t>Mckupler</t>
  </si>
  <si>
    <t>MLL- Industrial</t>
  </si>
  <si>
    <t>MLL- Automotive</t>
  </si>
  <si>
    <t>3M</t>
  </si>
  <si>
    <t>Lubricant Specialist</t>
  </si>
  <si>
    <t>Mcshaw Automotive</t>
  </si>
  <si>
    <t>Interocean Lubricants</t>
  </si>
  <si>
    <t>Sea World</t>
  </si>
  <si>
    <t>Carplan</t>
  </si>
  <si>
    <t>Elan Lubricants</t>
  </si>
  <si>
    <t>Esna Distributors</t>
  </si>
  <si>
    <t>Total Lubricant Cluster</t>
  </si>
  <si>
    <t>Group Total</t>
  </si>
  <si>
    <t>Mar '25 Actual (A)</t>
  </si>
  <si>
    <t>Mar'25 Budget (B)</t>
  </si>
  <si>
    <t>Non Ops Income</t>
  </si>
  <si>
    <t>PBT Actual Value Check</t>
  </si>
  <si>
    <t>PBT Budget Value Check</t>
  </si>
  <si>
    <t>PBT After Non Ops Actual</t>
  </si>
  <si>
    <t>PBT After Non Ops budget</t>
  </si>
  <si>
    <t>Mclarens Group Limited</t>
  </si>
  <si>
    <t>Pending financials for March 2025</t>
  </si>
  <si>
    <t>Macbertan (Pvt) Ltd</t>
  </si>
  <si>
    <t>Macbertan Holdings</t>
  </si>
  <si>
    <t>Manufacturing</t>
  </si>
  <si>
    <t>Revenue achievement for the month is 86%. GP Margin (Actual 79.35% vs 73%) due to the reduced cost in recipes. Total ohs are within budgeted limits.</t>
  </si>
  <si>
    <t>Total Manufacturing Cluster</t>
  </si>
  <si>
    <t>Strategic Investment</t>
  </si>
  <si>
    <t>Mclarens Group Management Limited</t>
  </si>
  <si>
    <t>Total Strategic Investment</t>
  </si>
  <si>
    <t>Revenue achievement amounted to 117% and GP Margin (Actual 98% vs Bud 95%)</t>
  </si>
  <si>
    <t>Revenue achievement was 14%, (  Volume -Actual 20 Bud 100) despite total OH's being within the budgeted limit due to the revenue drop a negative PBT was reported</t>
  </si>
  <si>
    <t xml:space="preserve">Total Revenue achievement for the month reached to 91% where the 9% revenue underachievement was due to revenue losses in spare clearnace income, delay intransit income &amp; onboarding ops income 49%,  51% &amp; 83% revenue achievements respectively. The overall GP margins (Act 82% vs 74%) was achieved due to high GP margins from rework operations income ( which contributes the highest revenue quantum for the month), launch related income &amp; special operations income. Total OH;s are within budgeted limits except for admin expenses mainly stemming from local travel &amp; fuel expenses &amp; depreciation expenses. </t>
  </si>
  <si>
    <t>Total Revenue achievement depiected was 99% mainly stemming from propler polishing ( Actual Jobs 21 vs  Bud 9)  and CCTV inspection income ( Actual jobs 11 vs Bud 5), however hull cleaning underachievement amounted to 42% (Actual jobs 5 vs Bud 7) and repair income underachievement 20%. Overall GP Margin was (Actual 47% vs Bud 43%) Total ohs were above bugeted limit by 1.2Mn mainly stemming from selling &amp; distribution exp due to a bad debt debtor provision of 2.3Mn. However depite a OH increase due to positive GP Margins &amp; high no of jobs from propler &amp; CCTV inspections the company managed to achieve the budgeted NPBT.</t>
  </si>
  <si>
    <t xml:space="preserve">Total Shipping services &amp; Logistics </t>
  </si>
  <si>
    <t xml:space="preserve"> Shipping services &amp; Logistics </t>
  </si>
  <si>
    <t>Lubricant Cluster 01</t>
  </si>
  <si>
    <t>Total Lubricant Cluster 01</t>
  </si>
  <si>
    <t>Total Lubricant Cluster 02</t>
  </si>
  <si>
    <t>Lubricant Cluster 02</t>
  </si>
  <si>
    <t>For the month of March overall revenue achievement was 157% and GP Margin after cost reimbursement provision of 1.2Mn amounted to (Actual 33% bud 24%). Total OH expense was within budgeted limit while admin expenses depicted a positive amount due to realized exchange rate gain of 73k. Due to revenue overachievement (Actual jobs 20 vs Bud 19) and positive GP Margin the budgeted PBT was overachieved (Actual 26% Bud 13%).</t>
  </si>
  <si>
    <t>PBT After Non Ops (LKR 000)</t>
  </si>
  <si>
    <t>Overheads (LKR 000)</t>
  </si>
  <si>
    <t>GP (LKR 000)</t>
  </si>
  <si>
    <t>Revenue (LKR 000)</t>
  </si>
  <si>
    <t>Revenue (USD 000)</t>
  </si>
  <si>
    <t>PBT before Non Ops  (LKR 000)</t>
  </si>
  <si>
    <t>VAR</t>
  </si>
  <si>
    <t>YoY</t>
  </si>
  <si>
    <t>April</t>
  </si>
  <si>
    <t>Apr '25 Actual (A)</t>
  </si>
  <si>
    <t>Apr 25 Budget (B)</t>
  </si>
  <si>
    <t>Apr' 25 Budget (B)</t>
  </si>
  <si>
    <t>Non Ops Expenses</t>
  </si>
  <si>
    <t>Positive impact as additional income recorded from Mobitel tower</t>
  </si>
  <si>
    <t>PBT impacted by higher provisions made in maint. Budget</t>
  </si>
  <si>
    <t>Negative impact on PBT as not invoicing for continental Tech and IOS(pending instructions)</t>
  </si>
  <si>
    <t>PBT impacted by lower revenue as YTL space is not invoiced wheras budgeted for Apr 25</t>
  </si>
  <si>
    <t>Only income from Topaz and incurring cost for utilities.</t>
  </si>
  <si>
    <t>Apartment rent for the month and service fee accrued for the period</t>
  </si>
  <si>
    <t>Income generated from apartment rent</t>
  </si>
  <si>
    <t>No income generated and services fee expense for the period</t>
  </si>
  <si>
    <t>No transactions for the month</t>
  </si>
  <si>
    <t>Almost in line with the budget</t>
  </si>
  <si>
    <t>Positive impact due to invoicing utilities</t>
  </si>
  <si>
    <t>positive impact due to reduction in maint. Cost</t>
  </si>
  <si>
    <t>Mclarens Group International Limited/Mclarens Group Limited</t>
  </si>
  <si>
    <t>IOH - 5.6 Mn/Bud - 5.5 Mn included in Overhead cost. OPL foreign (Act - 31/Bud-42) and PMSC (Act-58/bud-108) job volume reduction mainly impact to the operating inclume deficit.</t>
  </si>
  <si>
    <t>Budgeted LKR 30Mn income from disaster recovery operation &amp; specialized O&amp;G vessel not materialized during the month</t>
  </si>
  <si>
    <t>Volume &amp; rate reduction.</t>
  </si>
  <si>
    <t>IAL (Budget-620 TEUs/Actual-438 TEUs) &amp; Special Projects (Budget-69 Jobs/Actual-29 Jobs) not materilized as budgeted.</t>
  </si>
  <si>
    <t>Positive impact on PBT with higher margins</t>
  </si>
  <si>
    <t>The company is not generating revenue for the period</t>
  </si>
  <si>
    <t>PBT impacted by lower GP</t>
  </si>
  <si>
    <t>Negative impact on PBT with low volumes</t>
  </si>
  <si>
    <t>Accounts pending</t>
  </si>
  <si>
    <t>Achieved 84% of the targeted volume; however, revenue achievement stands at only 63%. The actual  GP margin is 15% compared to the budget of 25%, resulting in a NPBT loss of LKR 11 Mn</t>
  </si>
  <si>
    <t xml:space="preserve">Achieved 98% of its volume target, with Industrial and Marine segments exceeding expectations at 114% and 119% respectively. Revenue stood at 85% of the budget as the price of 1L has been reduced compared to last month. The GP margin was 25% ( bud 29%), but GP improved to 27% after accounting for exchange gains from US$ account revaluation. The drop in industrial margins was primarily due to sales to Ferrentino Tyre at old pricing, with anticipated price support expected to recover the loss next month. Overheads showed a favorable variance of Rs. 4.5 Mn, mainly due to the partial reversal of the 2024 bonus provision. The  NPBT recorded as 23Mn </t>
  </si>
  <si>
    <t>The company fell short its overall volume target by 7% ,  Lockheed volumes decreased by 56% , while Mobil volumes met the budget. Overall, the company achieved 84% of its revenue target for the month of April. In terms of gross profit, Lockheed fell short, its budgeted gross profit by 49%, as well as Mobil's gross profit fell short of the budget by 7%, primarily due due to margin erosion from the product mix in the retail division.Overheads rose due to higher finance, distribution, and promotional costs. NPBT was Rs. 12.9Mn (31% of Bud) , including a Rs. 4.6Mn unrealized exchange loss.</t>
  </si>
  <si>
    <t xml:space="preserve">Achived 102% of turnover in this month, and achived bugeted GP Margin (37%) , NPBT was as 4.8Mn with 899% achivementment compared with the Bugeted value.This performance reflects strong contributions from nearly all divisions. </t>
  </si>
  <si>
    <t>Energy Core Lanka (Pvt) Ltd (previously known as McLaren Services (Pvt) Ltd)</t>
  </si>
  <si>
    <t>Apr</t>
  </si>
  <si>
    <t>Volume achievement is 98%, yet the revenue achievement is only 87%. Actual GP margin is 27% against the budget of 30%. OHs are with the budget. Drop in GP margins mainly led to the lower PBT achievement.</t>
  </si>
  <si>
    <t>Volume achievement is 85%. Actual GP margin is 11% against the budget of 17.5%. OHs are with the budget.  Drop in  volumes and GP margins mainly led to the lower PBT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</si>
</sst>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0_);\(0\)"/>
  </numFmts>
  <fonts count="23"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0"/>
      <name val="Calibri"/>
      <family val="2"/>
    </font>
    <font>
      <b/>
      <i/>
      <sz val="11"/>
      <color theme="1"/>
      <name val="Calibri"/>
      <family val="2"/>
    </font>
    <font>
      <i/>
      <sz val="11"/>
      <color rgb="FFC00000"/>
      <name val="Calibri"/>
      <family val="2"/>
    </font>
    <font>
      <b/>
      <i/>
      <sz val="11"/>
      <color rgb="FFC00000"/>
      <name val="Calibri"/>
      <family val="2"/>
    </font>
    <font>
      <b/>
      <i/>
      <sz val="11"/>
      <color theme="5" tint="-0.249977111117893"/>
      <name val="Calibri"/>
      <family val="2"/>
    </font>
    <font>
      <sz val="10"/>
      <color theme="1"/>
      <name val="Calibri"/>
      <family val="2"/>
    </font>
    <font>
      <sz val="11"/>
      <color rgb="FF000000"/>
      <name val="Calibri"/>
      <family val="2"/>
    </font>
    <font>
      <b/>
      <i/>
      <sz val="11"/>
      <color rgb="FFFF0000"/>
      <name val="Calibri"/>
      <family val="2"/>
    </font>
    <font>
      <sz val="11"/>
      <color rgb="FFC00000"/>
      <name val="Calibri"/>
      <family val="2"/>
    </font>
    <font>
      <sz val="11"/>
      <name val="Calibri"/>
      <family val="2"/>
    </font>
    <font>
      <b/>
      <i/>
      <sz val="11"/>
      <color theme="0"/>
      <name val="Calibri"/>
      <family val="2"/>
    </font>
    <font>
      <b/>
      <sz val="11"/>
      <color theme="5" tint="-0.249977111117893"/>
      <name val="Calibri"/>
      <family val="2"/>
    </font>
    <font>
      <i/>
      <sz val="10"/>
      <name val="Calibri"/>
      <family val="2"/>
    </font>
    <font>
      <i/>
      <sz val="10"/>
      <color theme="1"/>
      <name val="Calibri"/>
      <family val="2"/>
    </font>
    <font>
      <sz val="10"/>
      <name val="Arial"/>
      <family val="2"/>
    </font>
    <font>
      <i/>
      <sz val="11"/>
      <color theme="5" tint="-0.249977111117893"/>
      <name val="Calibri"/>
      <family val="2"/>
    </font>
    <font>
      <sz val="11"/>
      <color theme="0"/>
      <name val="Calibri"/>
      <family val="2"/>
    </font>
    <font>
      <sz val="8"/>
      <name val="Aptos Narrow"/>
      <family val="2"/>
      <scheme val="minor"/>
    </font>
    <font>
      <sz val="11"/>
      <color rgb="FF002060"/>
      <name val="Calibri"/>
      <family val="2"/>
    </font>
  </fonts>
  <fills count="16">
    <fill>
      <patternFill patternType="none"/>
    </fill>
    <fill>
      <patternFill patternType="gray125"/>
    </fill>
    <fill>
      <patternFill patternType="solid">
        <fgColor rgb="FF002060"/>
        <bgColor indexed="64"/>
      </patternFill>
    </fill>
    <fill>
      <patternFill patternType="solid">
        <fgColor rgb="FF7EC234"/>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B0F0"/>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medium">
        <color indexed="64"/>
      </right>
      <top style="medium">
        <color indexed="64"/>
      </top>
      <bottom style="medium">
        <color indexed="64"/>
      </bottom>
      <diagonal/>
    </border>
    <border>
      <left style="thin">
        <color rgb="FF00B0F0"/>
      </left>
      <right style="thin">
        <color rgb="FF00B0F0"/>
      </right>
      <top style="thin">
        <color rgb="FF00B0F0"/>
      </top>
      <bottom style="thin">
        <color rgb="FF00B0F0"/>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0" fontId="18" fillId="0" borderId="0"/>
    <xf numFmtId="43" fontId="18" fillId="0" borderId="0" applyFont="0" applyFill="0" applyBorder="0" applyAlignment="0" applyProtection="0"/>
  </cellStyleXfs>
  <cellXfs count="436">
    <xf numFmtId="0" fontId="0" fillId="0" borderId="0" xfId="0"/>
    <xf numFmtId="3" fontId="3" fillId="0" borderId="0" xfId="0" applyNumberFormat="1" applyFont="1" applyAlignment="1">
      <alignment vertical="center"/>
    </xf>
    <xf numFmtId="37" fontId="3" fillId="0" borderId="0" xfId="0" applyNumberFormat="1" applyFont="1" applyAlignment="1">
      <alignment vertical="center"/>
    </xf>
    <xf numFmtId="4" fontId="3" fillId="0" borderId="0" xfId="0" applyNumberFormat="1" applyFont="1" applyAlignment="1">
      <alignment vertical="center"/>
    </xf>
    <xf numFmtId="3" fontId="2" fillId="0" borderId="0" xfId="0" applyNumberFormat="1" applyFont="1" applyAlignment="1">
      <alignment horizontal="center" vertical="center"/>
    </xf>
    <xf numFmtId="3" fontId="4" fillId="2" borderId="0" xfId="0" applyNumberFormat="1" applyFont="1" applyFill="1" applyAlignment="1">
      <alignment horizontal="center" vertical="center"/>
    </xf>
    <xf numFmtId="3" fontId="4" fillId="2" borderId="0" xfId="0" applyNumberFormat="1" applyFont="1" applyFill="1" applyAlignment="1">
      <alignment horizontal="center" vertical="center" wrapText="1"/>
    </xf>
    <xf numFmtId="3" fontId="3" fillId="0" borderId="0" xfId="0" applyNumberFormat="1" applyFont="1" applyAlignment="1">
      <alignment vertical="center" wrapText="1"/>
    </xf>
    <xf numFmtId="3" fontId="3" fillId="0" borderId="12" xfId="0" applyNumberFormat="1" applyFont="1" applyBorder="1" applyAlignment="1">
      <alignment horizontal="center" vertical="center" wrapText="1"/>
    </xf>
    <xf numFmtId="3" fontId="3" fillId="0" borderId="13" xfId="0" applyNumberFormat="1" applyFont="1" applyBorder="1" applyAlignment="1">
      <alignment vertical="center"/>
    </xf>
    <xf numFmtId="3" fontId="3" fillId="6" borderId="13" xfId="0" applyNumberFormat="1" applyFont="1" applyFill="1" applyBorder="1" applyAlignment="1">
      <alignment vertical="center"/>
    </xf>
    <xf numFmtId="3" fontId="3" fillId="7" borderId="14" xfId="0" applyNumberFormat="1" applyFont="1" applyFill="1" applyBorder="1" applyAlignment="1">
      <alignment horizontal="right" vertical="center"/>
    </xf>
    <xf numFmtId="3" fontId="3" fillId="4" borderId="15" xfId="0" applyNumberFormat="1" applyFont="1" applyFill="1" applyBorder="1" applyAlignment="1">
      <alignment horizontal="right" vertical="center"/>
    </xf>
    <xf numFmtId="3" fontId="3" fillId="0" borderId="14" xfId="1" applyNumberFormat="1" applyFont="1" applyBorder="1" applyAlignment="1">
      <alignment vertical="center"/>
    </xf>
    <xf numFmtId="9" fontId="3" fillId="0" borderId="12" xfId="2" applyFont="1" applyFill="1" applyBorder="1" applyAlignment="1">
      <alignment horizontal="center" vertical="center" wrapText="1"/>
    </xf>
    <xf numFmtId="3" fontId="3" fillId="7" borderId="14" xfId="0" applyNumberFormat="1" applyFont="1" applyFill="1" applyBorder="1" applyAlignment="1">
      <alignment vertical="center"/>
    </xf>
    <xf numFmtId="3" fontId="3" fillId="4" borderId="14" xfId="0" applyNumberFormat="1" applyFont="1" applyFill="1" applyBorder="1" applyAlignment="1">
      <alignment vertical="center"/>
    </xf>
    <xf numFmtId="3" fontId="3" fillId="0" borderId="14" xfId="0" applyNumberFormat="1" applyFont="1" applyBorder="1" applyAlignment="1">
      <alignment vertical="center"/>
    </xf>
    <xf numFmtId="37" fontId="3" fillId="7" borderId="12" xfId="0" applyNumberFormat="1" applyFont="1" applyFill="1" applyBorder="1" applyAlignment="1">
      <alignment vertical="center"/>
    </xf>
    <xf numFmtId="9" fontId="3" fillId="0" borderId="12" xfId="2" applyFont="1" applyFill="1" applyBorder="1" applyAlignment="1">
      <alignment vertical="center" wrapText="1"/>
    </xf>
    <xf numFmtId="2" fontId="3" fillId="0" borderId="12" xfId="2" applyNumberFormat="1" applyFont="1" applyFill="1" applyBorder="1" applyAlignment="1">
      <alignment vertical="center" wrapText="1"/>
    </xf>
    <xf numFmtId="3" fontId="3" fillId="0" borderId="12" xfId="0" applyNumberFormat="1" applyFont="1" applyBorder="1" applyAlignment="1">
      <alignment vertical="center"/>
    </xf>
    <xf numFmtId="3" fontId="3" fillId="6" borderId="0" xfId="0" applyNumberFormat="1" applyFont="1" applyFill="1" applyAlignment="1">
      <alignment vertical="center"/>
    </xf>
    <xf numFmtId="0" fontId="3" fillId="6" borderId="12" xfId="0" applyFont="1" applyFill="1" applyBorder="1" applyAlignment="1">
      <alignment vertical="center"/>
    </xf>
    <xf numFmtId="3" fontId="3" fillId="4" borderId="12" xfId="0" applyNumberFormat="1" applyFont="1" applyFill="1" applyBorder="1" applyAlignment="1">
      <alignment horizontal="right" vertical="center"/>
    </xf>
    <xf numFmtId="37" fontId="3" fillId="0" borderId="12" xfId="1" applyNumberFormat="1" applyFont="1" applyBorder="1" applyAlignment="1">
      <alignment vertical="center"/>
    </xf>
    <xf numFmtId="37" fontId="3" fillId="8" borderId="12" xfId="0" applyNumberFormat="1" applyFont="1" applyFill="1" applyBorder="1" applyAlignment="1">
      <alignment vertical="center"/>
    </xf>
    <xf numFmtId="37" fontId="3" fillId="0" borderId="12" xfId="0" applyNumberFormat="1" applyFont="1" applyBorder="1" applyAlignment="1">
      <alignment vertical="center"/>
    </xf>
    <xf numFmtId="37" fontId="3" fillId="4" borderId="12" xfId="0" applyNumberFormat="1" applyFont="1" applyFill="1" applyBorder="1" applyAlignment="1">
      <alignment vertical="center"/>
    </xf>
    <xf numFmtId="3" fontId="3" fillId="0" borderId="17" xfId="0" applyNumberFormat="1" applyFont="1" applyBorder="1" applyAlignment="1">
      <alignment horizontal="center" vertical="center" wrapText="1"/>
    </xf>
    <xf numFmtId="3" fontId="3" fillId="6" borderId="17" xfId="0" applyNumberFormat="1" applyFont="1" applyFill="1" applyBorder="1" applyAlignment="1">
      <alignment vertical="center"/>
    </xf>
    <xf numFmtId="3" fontId="3" fillId="0" borderId="11" xfId="1" applyNumberFormat="1" applyFont="1" applyBorder="1" applyAlignment="1">
      <alignment vertical="center"/>
    </xf>
    <xf numFmtId="9" fontId="3" fillId="0" borderId="18" xfId="2" applyFont="1" applyFill="1" applyBorder="1" applyAlignment="1">
      <alignment horizontal="center" vertical="center" wrapText="1"/>
    </xf>
    <xf numFmtId="3" fontId="3" fillId="7" borderId="11" xfId="0" applyNumberFormat="1" applyFont="1" applyFill="1" applyBorder="1" applyAlignment="1">
      <alignment vertical="center"/>
    </xf>
    <xf numFmtId="3" fontId="3" fillId="4" borderId="11" xfId="0" applyNumberFormat="1" applyFont="1" applyFill="1" applyBorder="1" applyAlignment="1">
      <alignment vertical="center"/>
    </xf>
    <xf numFmtId="9" fontId="3" fillId="0" borderId="18" xfId="2" applyFont="1" applyFill="1" applyBorder="1" applyAlignment="1">
      <alignment vertical="center" wrapText="1"/>
    </xf>
    <xf numFmtId="3" fontId="2" fillId="9" borderId="8" xfId="0" applyNumberFormat="1" applyFont="1" applyFill="1" applyBorder="1" applyAlignment="1">
      <alignment horizontal="center" vertical="center" textRotation="90"/>
    </xf>
    <xf numFmtId="3" fontId="7" fillId="9" borderId="20" xfId="0" applyNumberFormat="1" applyFont="1" applyFill="1" applyBorder="1" applyAlignment="1">
      <alignment vertical="center"/>
    </xf>
    <xf numFmtId="3" fontId="8" fillId="9" borderId="8" xfId="0" applyNumberFormat="1" applyFont="1" applyFill="1" applyBorder="1" applyAlignment="1">
      <alignment horizontal="right" vertical="center"/>
    </xf>
    <xf numFmtId="3" fontId="8" fillId="9" borderId="8" xfId="0" applyNumberFormat="1" applyFont="1" applyFill="1" applyBorder="1" applyAlignment="1">
      <alignment vertical="center"/>
    </xf>
    <xf numFmtId="3" fontId="8" fillId="9" borderId="8" xfId="1" applyNumberFormat="1" applyFont="1" applyFill="1" applyBorder="1" applyAlignment="1">
      <alignment vertical="center"/>
    </xf>
    <xf numFmtId="9" fontId="8" fillId="9" borderId="21" xfId="2" applyFont="1" applyFill="1" applyBorder="1" applyAlignment="1">
      <alignment horizontal="center" vertical="center" wrapText="1"/>
    </xf>
    <xf numFmtId="9" fontId="8" fillId="9" borderId="21" xfId="2" applyFont="1" applyFill="1" applyBorder="1" applyAlignment="1">
      <alignment vertical="center" wrapText="1"/>
    </xf>
    <xf numFmtId="9" fontId="3" fillId="6" borderId="0" xfId="2" applyFont="1" applyFill="1" applyAlignment="1">
      <alignment vertical="center"/>
    </xf>
    <xf numFmtId="3" fontId="3" fillId="9" borderId="22" xfId="0" applyNumberFormat="1" applyFont="1" applyFill="1" applyBorder="1" applyAlignment="1">
      <alignment vertical="center"/>
    </xf>
    <xf numFmtId="3" fontId="3" fillId="0" borderId="23" xfId="0" applyNumberFormat="1" applyFont="1" applyBorder="1" applyAlignment="1">
      <alignment vertical="center"/>
    </xf>
    <xf numFmtId="3" fontId="3" fillId="6" borderId="23" xfId="0" applyNumberFormat="1" applyFont="1" applyFill="1" applyBorder="1" applyAlignment="1">
      <alignment vertical="center"/>
    </xf>
    <xf numFmtId="3" fontId="3" fillId="7" borderId="11" xfId="0" applyNumberFormat="1" applyFont="1" applyFill="1" applyBorder="1" applyAlignment="1">
      <alignment horizontal="right" vertical="center"/>
    </xf>
    <xf numFmtId="3" fontId="3" fillId="4" borderId="11" xfId="0" applyNumberFormat="1" applyFont="1" applyFill="1" applyBorder="1" applyAlignment="1">
      <alignment horizontal="right" vertical="center"/>
    </xf>
    <xf numFmtId="9" fontId="3" fillId="0" borderId="14" xfId="2" applyFont="1" applyFill="1" applyBorder="1" applyAlignment="1">
      <alignment horizontal="center" vertical="center" wrapText="1"/>
    </xf>
    <xf numFmtId="9" fontId="3" fillId="0" borderId="14" xfId="2" applyFont="1" applyFill="1" applyBorder="1" applyAlignment="1">
      <alignment vertical="center" wrapText="1"/>
    </xf>
    <xf numFmtId="3" fontId="3" fillId="0" borderId="12" xfId="0" applyNumberFormat="1" applyFont="1" applyBorder="1" applyAlignment="1">
      <alignment vertical="center" wrapText="1"/>
    </xf>
    <xf numFmtId="3" fontId="3" fillId="0" borderId="12" xfId="1" applyNumberFormat="1" applyFont="1" applyBorder="1" applyAlignment="1">
      <alignment vertical="center"/>
    </xf>
    <xf numFmtId="3" fontId="7" fillId="9" borderId="8" xfId="0" applyNumberFormat="1" applyFont="1" applyFill="1" applyBorder="1" applyAlignment="1">
      <alignment horizontal="center" vertical="center" textRotation="90"/>
    </xf>
    <xf numFmtId="3" fontId="7" fillId="9" borderId="8" xfId="0" applyNumberFormat="1" applyFont="1" applyFill="1" applyBorder="1" applyAlignment="1">
      <alignment vertical="center"/>
    </xf>
    <xf numFmtId="3" fontId="7" fillId="6" borderId="0" xfId="0" applyNumberFormat="1" applyFont="1" applyFill="1" applyAlignment="1">
      <alignment vertical="center"/>
    </xf>
    <xf numFmtId="3" fontId="7" fillId="9" borderId="22" xfId="0" applyNumberFormat="1" applyFont="1" applyFill="1" applyBorder="1" applyAlignment="1">
      <alignment vertical="center"/>
    </xf>
    <xf numFmtId="3" fontId="3" fillId="7" borderId="12" xfId="0" applyNumberFormat="1" applyFont="1" applyFill="1" applyBorder="1" applyAlignment="1">
      <alignment vertical="center"/>
    </xf>
    <xf numFmtId="3" fontId="3" fillId="4" borderId="12" xfId="0" applyNumberFormat="1" applyFont="1" applyFill="1" applyBorder="1" applyAlignment="1">
      <alignment vertical="center"/>
    </xf>
    <xf numFmtId="3" fontId="9" fillId="6" borderId="0" xfId="0" applyNumberFormat="1" applyFont="1" applyFill="1" applyAlignment="1">
      <alignment horizontal="left" vertical="center"/>
    </xf>
    <xf numFmtId="3" fontId="7" fillId="9" borderId="24" xfId="0" applyNumberFormat="1" applyFont="1" applyFill="1" applyBorder="1" applyAlignment="1">
      <alignment vertical="center"/>
    </xf>
    <xf numFmtId="3" fontId="7" fillId="9" borderId="0" xfId="0" applyNumberFormat="1" applyFont="1" applyFill="1" applyAlignment="1">
      <alignment vertical="center"/>
    </xf>
    <xf numFmtId="3" fontId="10" fillId="0" borderId="12" xfId="0" applyNumberFormat="1" applyFont="1" applyBorder="1" applyAlignment="1">
      <alignment vertical="center"/>
    </xf>
    <xf numFmtId="3" fontId="3" fillId="6" borderId="25" xfId="0" applyNumberFormat="1" applyFont="1" applyFill="1" applyBorder="1" applyAlignment="1">
      <alignment vertical="center"/>
    </xf>
    <xf numFmtId="3" fontId="7" fillId="9" borderId="26" xfId="0" applyNumberFormat="1" applyFont="1" applyFill="1" applyBorder="1" applyAlignment="1">
      <alignment vertical="center"/>
    </xf>
    <xf numFmtId="3" fontId="3" fillId="0" borderId="23" xfId="0" applyNumberFormat="1" applyFont="1" applyBorder="1" applyAlignment="1">
      <alignment horizontal="center" vertical="center"/>
    </xf>
    <xf numFmtId="3" fontId="3" fillId="0" borderId="13" xfId="0" applyNumberFormat="1" applyFont="1" applyBorder="1" applyAlignment="1">
      <alignment horizontal="center" vertical="center"/>
    </xf>
    <xf numFmtId="0" fontId="3" fillId="0" borderId="12" xfId="2" applyNumberFormat="1" applyFont="1" applyBorder="1" applyAlignment="1">
      <alignment vertical="center"/>
    </xf>
    <xf numFmtId="3" fontId="3" fillId="0" borderId="19" xfId="0" applyNumberFormat="1" applyFont="1" applyBorder="1" applyAlignment="1">
      <alignment horizontal="center" vertical="center"/>
    </xf>
    <xf numFmtId="3" fontId="3" fillId="9" borderId="0" xfId="0" applyNumberFormat="1" applyFont="1" applyFill="1" applyAlignment="1">
      <alignment vertical="center"/>
    </xf>
    <xf numFmtId="3" fontId="3" fillId="0" borderId="14" xfId="0" applyNumberFormat="1" applyFont="1" applyBorder="1" applyAlignment="1">
      <alignment horizontal="center" vertical="center"/>
    </xf>
    <xf numFmtId="3" fontId="3" fillId="9" borderId="8" xfId="0" applyNumberFormat="1" applyFont="1" applyFill="1" applyBorder="1" applyAlignment="1">
      <alignment vertical="center"/>
    </xf>
    <xf numFmtId="3" fontId="3" fillId="9" borderId="20" xfId="0" applyNumberFormat="1" applyFont="1" applyFill="1" applyBorder="1" applyAlignment="1">
      <alignment vertical="center"/>
    </xf>
    <xf numFmtId="37" fontId="3" fillId="6" borderId="12" xfId="0" applyNumberFormat="1" applyFont="1" applyFill="1" applyBorder="1" applyAlignment="1">
      <alignment vertical="center"/>
    </xf>
    <xf numFmtId="3" fontId="3" fillId="8" borderId="14" xfId="0" applyNumberFormat="1" applyFont="1" applyFill="1" applyBorder="1" applyAlignment="1">
      <alignment vertical="center"/>
    </xf>
    <xf numFmtId="3" fontId="3" fillId="7" borderId="27" xfId="0" applyNumberFormat="1" applyFont="1" applyFill="1" applyBorder="1" applyAlignment="1">
      <alignment vertical="center"/>
    </xf>
    <xf numFmtId="3" fontId="7" fillId="9" borderId="8" xfId="0" applyNumberFormat="1" applyFont="1" applyFill="1" applyBorder="1" applyAlignment="1">
      <alignment horizontal="center" vertical="center" wrapText="1"/>
    </xf>
    <xf numFmtId="3" fontId="7" fillId="9" borderId="20" xfId="0" applyNumberFormat="1" applyFont="1" applyFill="1" applyBorder="1" applyAlignment="1">
      <alignment horizontal="center" vertical="center" wrapText="1"/>
    </xf>
    <xf numFmtId="3" fontId="3" fillId="0" borderId="0" xfId="0" applyNumberFormat="1" applyFont="1" applyAlignment="1">
      <alignment horizontal="center" vertical="center"/>
    </xf>
    <xf numFmtId="3" fontId="3" fillId="6" borderId="28" xfId="0" applyNumberFormat="1" applyFont="1" applyFill="1" applyBorder="1" applyAlignment="1">
      <alignment vertical="center"/>
    </xf>
    <xf numFmtId="9" fontId="3" fillId="0" borderId="29" xfId="2" applyFont="1" applyFill="1" applyBorder="1" applyAlignment="1">
      <alignment horizontal="left" vertical="center" wrapText="1"/>
    </xf>
    <xf numFmtId="37" fontId="3" fillId="6" borderId="16" xfId="0" applyNumberFormat="1" applyFont="1" applyFill="1" applyBorder="1" applyAlignment="1">
      <alignment vertical="center"/>
    </xf>
    <xf numFmtId="37" fontId="3" fillId="4" borderId="14" xfId="0" applyNumberFormat="1" applyFont="1" applyFill="1" applyBorder="1" applyAlignment="1">
      <alignment vertical="center"/>
    </xf>
    <xf numFmtId="37" fontId="3" fillId="7" borderId="14" xfId="0" applyNumberFormat="1" applyFont="1" applyFill="1" applyBorder="1" applyAlignment="1">
      <alignment vertical="center"/>
    </xf>
    <xf numFmtId="37" fontId="3" fillId="8" borderId="14" xfId="0" applyNumberFormat="1" applyFont="1" applyFill="1" applyBorder="1" applyAlignment="1">
      <alignment vertical="center"/>
    </xf>
    <xf numFmtId="37" fontId="3" fillId="6" borderId="0" xfId="0" applyNumberFormat="1" applyFont="1" applyFill="1" applyAlignment="1">
      <alignment vertical="center"/>
    </xf>
    <xf numFmtId="37" fontId="3" fillId="6" borderId="12" xfId="1" applyNumberFormat="1" applyFont="1" applyFill="1" applyBorder="1" applyAlignment="1">
      <alignment vertical="center"/>
    </xf>
    <xf numFmtId="164" fontId="3" fillId="4" borderId="14" xfId="1" applyNumberFormat="1" applyFont="1" applyFill="1" applyBorder="1" applyAlignment="1">
      <alignment vertical="center"/>
    </xf>
    <xf numFmtId="3" fontId="3" fillId="0" borderId="16" xfId="0" applyNumberFormat="1" applyFont="1" applyBorder="1" applyAlignment="1">
      <alignment vertical="center" wrapText="1"/>
    </xf>
    <xf numFmtId="9" fontId="13" fillId="0" borderId="29" xfId="2" applyFont="1" applyBorder="1" applyAlignment="1">
      <alignment vertical="center" wrapText="1"/>
    </xf>
    <xf numFmtId="3" fontId="3" fillId="9" borderId="5" xfId="0" applyNumberFormat="1" applyFont="1" applyFill="1" applyBorder="1" applyAlignment="1">
      <alignment vertical="center"/>
    </xf>
    <xf numFmtId="3" fontId="3" fillId="4" borderId="21" xfId="0" applyNumberFormat="1" applyFont="1" applyFill="1" applyBorder="1" applyAlignment="1">
      <alignment vertical="center"/>
    </xf>
    <xf numFmtId="3" fontId="3" fillId="7" borderId="21" xfId="0" applyNumberFormat="1" applyFont="1" applyFill="1" applyBorder="1" applyAlignment="1">
      <alignment vertical="center"/>
    </xf>
    <xf numFmtId="3" fontId="8" fillId="9" borderId="0" xfId="0" applyNumberFormat="1" applyFont="1" applyFill="1" applyAlignment="1">
      <alignment horizontal="right" vertical="center"/>
    </xf>
    <xf numFmtId="3" fontId="4" fillId="2" borderId="0" xfId="0" applyNumberFormat="1" applyFont="1" applyFill="1" applyAlignment="1">
      <alignment vertical="center"/>
    </xf>
    <xf numFmtId="9" fontId="14" fillId="2" borderId="21" xfId="2" applyFont="1" applyFill="1" applyBorder="1" applyAlignment="1">
      <alignment horizontal="center" vertical="center" wrapText="1"/>
    </xf>
    <xf numFmtId="9" fontId="14" fillId="2" borderId="21" xfId="2" applyFont="1" applyFill="1" applyBorder="1" applyAlignment="1">
      <alignment vertical="center" wrapText="1"/>
    </xf>
    <xf numFmtId="9" fontId="14" fillId="2" borderId="0" xfId="2" applyFont="1" applyFill="1" applyBorder="1" applyAlignment="1">
      <alignment vertical="center" wrapText="1"/>
    </xf>
    <xf numFmtId="9" fontId="3" fillId="0" borderId="0" xfId="2" applyFont="1" applyAlignment="1">
      <alignment vertical="center"/>
    </xf>
    <xf numFmtId="9" fontId="4" fillId="2" borderId="0" xfId="2" applyFont="1" applyFill="1" applyAlignment="1">
      <alignment vertical="center"/>
    </xf>
    <xf numFmtId="3" fontId="2" fillId="10" borderId="2" xfId="0" applyNumberFormat="1" applyFont="1" applyFill="1" applyBorder="1" applyAlignment="1">
      <alignment horizontal="left" vertical="center"/>
    </xf>
    <xf numFmtId="3" fontId="2" fillId="10" borderId="2" xfId="0" applyNumberFormat="1" applyFont="1" applyFill="1" applyBorder="1" applyAlignment="1">
      <alignment horizontal="center" vertical="center"/>
    </xf>
    <xf numFmtId="3" fontId="2" fillId="10" borderId="5" xfId="0" applyNumberFormat="1" applyFont="1" applyFill="1" applyBorder="1" applyAlignment="1">
      <alignment horizontal="left" vertical="center"/>
    </xf>
    <xf numFmtId="3" fontId="2" fillId="10" borderId="5" xfId="0" applyNumberFormat="1" applyFont="1" applyFill="1" applyBorder="1" applyAlignment="1">
      <alignment horizontal="center" vertical="center"/>
    </xf>
    <xf numFmtId="3" fontId="7" fillId="9" borderId="27" xfId="0" applyNumberFormat="1" applyFont="1" applyFill="1" applyBorder="1" applyAlignment="1">
      <alignment vertical="center"/>
    </xf>
    <xf numFmtId="3" fontId="3" fillId="7" borderId="12" xfId="0" applyNumberFormat="1" applyFont="1" applyFill="1" applyBorder="1" applyAlignment="1">
      <alignment horizontal="right" vertical="center"/>
    </xf>
    <xf numFmtId="3" fontId="3" fillId="7" borderId="15" xfId="0" applyNumberFormat="1" applyFont="1" applyFill="1" applyBorder="1" applyAlignment="1">
      <alignment horizontal="right" vertical="center"/>
    </xf>
    <xf numFmtId="3" fontId="3" fillId="9" borderId="14" xfId="1" applyNumberFormat="1" applyFont="1" applyFill="1" applyBorder="1" applyAlignment="1">
      <alignment vertical="center"/>
    </xf>
    <xf numFmtId="3" fontId="3" fillId="6" borderId="14" xfId="1" applyNumberFormat="1" applyFont="1" applyFill="1" applyBorder="1" applyAlignment="1">
      <alignment vertical="center"/>
    </xf>
    <xf numFmtId="2" fontId="3" fillId="9" borderId="12" xfId="2" applyNumberFormat="1" applyFont="1" applyFill="1" applyBorder="1" applyAlignment="1">
      <alignment vertical="center" wrapText="1"/>
    </xf>
    <xf numFmtId="2" fontId="3" fillId="6" borderId="12" xfId="2" applyNumberFormat="1" applyFont="1" applyFill="1" applyBorder="1" applyAlignment="1">
      <alignment vertical="center" wrapText="1"/>
    </xf>
    <xf numFmtId="3" fontId="3" fillId="0" borderId="16" xfId="0" applyNumberFormat="1" applyFont="1" applyBorder="1" applyAlignment="1">
      <alignment vertical="top" wrapText="1"/>
    </xf>
    <xf numFmtId="9" fontId="8" fillId="9" borderId="12" xfId="2" applyFont="1" applyFill="1" applyBorder="1" applyAlignment="1">
      <alignment vertical="center" wrapText="1"/>
    </xf>
    <xf numFmtId="9" fontId="3" fillId="6" borderId="12" xfId="2" applyFont="1" applyFill="1" applyBorder="1" applyAlignment="1">
      <alignment vertical="center" wrapText="1"/>
    </xf>
    <xf numFmtId="3" fontId="8" fillId="9" borderId="27" xfId="1" applyNumberFormat="1" applyFont="1" applyFill="1" applyBorder="1" applyAlignment="1">
      <alignment vertical="center"/>
    </xf>
    <xf numFmtId="3" fontId="8" fillId="9" borderId="15" xfId="1" applyNumberFormat="1" applyFont="1" applyFill="1" applyBorder="1" applyAlignment="1">
      <alignment vertical="center"/>
    </xf>
    <xf numFmtId="3" fontId="8" fillId="9" borderId="12" xfId="1" applyNumberFormat="1" applyFont="1" applyFill="1" applyBorder="1" applyAlignment="1">
      <alignment vertical="center"/>
    </xf>
    <xf numFmtId="3" fontId="8" fillId="9" borderId="14" xfId="1" applyNumberFormat="1" applyFont="1" applyFill="1" applyBorder="1" applyAlignment="1">
      <alignment vertical="center"/>
    </xf>
    <xf numFmtId="3" fontId="8" fillId="9" borderId="12" xfId="2" applyNumberFormat="1" applyFont="1" applyFill="1" applyBorder="1" applyAlignment="1">
      <alignment vertical="center" wrapText="1"/>
    </xf>
    <xf numFmtId="9" fontId="16" fillId="0" borderId="29" xfId="2" applyFont="1" applyFill="1" applyBorder="1" applyAlignment="1">
      <alignment horizontal="left" vertical="top" wrapText="1"/>
    </xf>
    <xf numFmtId="9" fontId="17" fillId="0" borderId="29" xfId="2" applyFont="1" applyFill="1" applyBorder="1" applyAlignment="1">
      <alignment horizontal="left" vertical="top" wrapText="1"/>
    </xf>
    <xf numFmtId="3" fontId="3" fillId="0" borderId="12" xfId="0" applyNumberFormat="1" applyFont="1" applyBorder="1" applyAlignment="1">
      <alignment vertical="top" wrapText="1"/>
    </xf>
    <xf numFmtId="3" fontId="11" fillId="0" borderId="12" xfId="0" applyNumberFormat="1" applyFont="1" applyBorder="1" applyAlignment="1">
      <alignment vertical="center" wrapText="1"/>
    </xf>
    <xf numFmtId="3" fontId="3" fillId="11" borderId="12" xfId="2" applyNumberFormat="1" applyFont="1" applyFill="1" applyBorder="1" applyAlignment="1">
      <alignment vertical="center" wrapText="1"/>
    </xf>
    <xf numFmtId="37" fontId="3" fillId="11" borderId="16" xfId="2" applyNumberFormat="1" applyFont="1" applyFill="1" applyBorder="1" applyAlignment="1">
      <alignment vertical="center" wrapText="1"/>
    </xf>
    <xf numFmtId="37" fontId="3" fillId="11" borderId="12" xfId="0" applyNumberFormat="1" applyFont="1" applyFill="1" applyBorder="1" applyAlignment="1">
      <alignment vertical="center"/>
    </xf>
    <xf numFmtId="1" fontId="3" fillId="11" borderId="16" xfId="2" applyNumberFormat="1" applyFont="1" applyFill="1" applyBorder="1" applyAlignment="1">
      <alignment vertical="center" wrapText="1"/>
    </xf>
    <xf numFmtId="2" fontId="3" fillId="4" borderId="12" xfId="2" applyNumberFormat="1" applyFont="1" applyFill="1" applyBorder="1" applyAlignment="1">
      <alignment vertical="center" wrapText="1"/>
    </xf>
    <xf numFmtId="1" fontId="3" fillId="4" borderId="12" xfId="2" applyNumberFormat="1" applyFont="1" applyFill="1" applyBorder="1" applyAlignment="1">
      <alignment vertical="center" wrapText="1"/>
    </xf>
    <xf numFmtId="2" fontId="3" fillId="4" borderId="0" xfId="2" applyNumberFormat="1" applyFont="1" applyFill="1" applyBorder="1" applyAlignment="1">
      <alignment vertical="center" wrapText="1"/>
    </xf>
    <xf numFmtId="37" fontId="3" fillId="4" borderId="16" xfId="0" applyNumberFormat="1" applyFont="1" applyFill="1" applyBorder="1" applyAlignment="1">
      <alignment vertical="center"/>
    </xf>
    <xf numFmtId="3" fontId="3" fillId="11" borderId="16" xfId="2" applyNumberFormat="1" applyFont="1" applyFill="1" applyBorder="1" applyAlignment="1">
      <alignment vertical="center" wrapText="1"/>
    </xf>
    <xf numFmtId="3" fontId="3" fillId="8" borderId="16" xfId="2" applyNumberFormat="1" applyFont="1" applyFill="1" applyBorder="1" applyAlignment="1">
      <alignment vertical="center" wrapText="1"/>
    </xf>
    <xf numFmtId="3" fontId="3" fillId="8" borderId="12" xfId="2" applyNumberFormat="1" applyFont="1" applyFill="1" applyBorder="1" applyAlignment="1">
      <alignment vertical="center" wrapText="1"/>
    </xf>
    <xf numFmtId="37" fontId="3" fillId="8" borderId="12" xfId="2" applyNumberFormat="1" applyFont="1" applyFill="1" applyBorder="1" applyAlignment="1">
      <alignment vertical="center" wrapText="1"/>
    </xf>
    <xf numFmtId="1" fontId="3" fillId="8" borderId="12" xfId="2" applyNumberFormat="1" applyFont="1" applyFill="1" applyBorder="1" applyAlignment="1">
      <alignment vertical="center" wrapText="1"/>
    </xf>
    <xf numFmtId="2" fontId="3" fillId="8" borderId="12" xfId="2" applyNumberFormat="1" applyFont="1" applyFill="1" applyBorder="1" applyAlignment="1">
      <alignment vertical="center" wrapText="1"/>
    </xf>
    <xf numFmtId="2" fontId="3" fillId="11" borderId="16" xfId="2" applyNumberFormat="1" applyFont="1" applyFill="1" applyBorder="1" applyAlignment="1">
      <alignment vertical="center" wrapText="1"/>
    </xf>
    <xf numFmtId="2" fontId="3" fillId="8" borderId="16" xfId="2" applyNumberFormat="1" applyFont="1" applyFill="1" applyBorder="1" applyAlignment="1">
      <alignment vertical="center" wrapText="1"/>
    </xf>
    <xf numFmtId="1" fontId="3" fillId="8" borderId="16" xfId="2" applyNumberFormat="1" applyFont="1" applyFill="1" applyBorder="1" applyAlignment="1">
      <alignment vertical="center" wrapText="1"/>
    </xf>
    <xf numFmtId="1" fontId="3" fillId="8" borderId="25" xfId="2" applyNumberFormat="1" applyFont="1" applyFill="1" applyBorder="1" applyAlignment="1">
      <alignment vertical="center" wrapText="1"/>
    </xf>
    <xf numFmtId="1" fontId="3" fillId="7" borderId="12" xfId="2" applyNumberFormat="1" applyFont="1" applyFill="1" applyBorder="1" applyAlignment="1">
      <alignment vertical="center" wrapText="1"/>
    </xf>
    <xf numFmtId="3" fontId="3" fillId="7" borderId="12" xfId="2" applyNumberFormat="1" applyFont="1" applyFill="1" applyBorder="1" applyAlignment="1">
      <alignment vertical="center" wrapText="1"/>
    </xf>
    <xf numFmtId="2" fontId="3" fillId="7" borderId="12" xfId="2" applyNumberFormat="1" applyFont="1" applyFill="1" applyBorder="1" applyAlignment="1">
      <alignment vertical="center" wrapText="1"/>
    </xf>
    <xf numFmtId="37" fontId="3" fillId="7" borderId="12" xfId="2" applyNumberFormat="1" applyFont="1" applyFill="1" applyBorder="1" applyAlignment="1">
      <alignment vertical="center" wrapText="1"/>
    </xf>
    <xf numFmtId="2" fontId="8" fillId="9" borderId="12" xfId="2" applyNumberFormat="1" applyFont="1" applyFill="1" applyBorder="1" applyAlignment="1">
      <alignment vertical="center" wrapText="1"/>
    </xf>
    <xf numFmtId="3" fontId="3" fillId="7" borderId="16" xfId="2" applyNumberFormat="1" applyFont="1" applyFill="1" applyBorder="1" applyAlignment="1">
      <alignment vertical="center" wrapText="1"/>
    </xf>
    <xf numFmtId="37" fontId="8" fillId="9" borderId="8" xfId="0" applyNumberFormat="1" applyFont="1" applyFill="1" applyBorder="1" applyAlignment="1">
      <alignment vertical="center"/>
    </xf>
    <xf numFmtId="3" fontId="14" fillId="2" borderId="0" xfId="2" applyNumberFormat="1" applyFont="1" applyFill="1" applyBorder="1" applyAlignment="1">
      <alignment vertical="center" wrapText="1"/>
    </xf>
    <xf numFmtId="3" fontId="8" fillId="9" borderId="16" xfId="2" applyNumberFormat="1" applyFont="1" applyFill="1" applyBorder="1" applyAlignment="1">
      <alignment vertical="center" wrapText="1"/>
    </xf>
    <xf numFmtId="3" fontId="3" fillId="4" borderId="15" xfId="0" applyNumberFormat="1" applyFont="1" applyFill="1" applyBorder="1" applyAlignment="1">
      <alignment vertical="center"/>
    </xf>
    <xf numFmtId="3" fontId="3" fillId="7" borderId="15" xfId="0" applyNumberFormat="1" applyFont="1" applyFill="1" applyBorder="1" applyAlignment="1">
      <alignment vertical="center"/>
    </xf>
    <xf numFmtId="9" fontId="8" fillId="9" borderId="15" xfId="2" applyFont="1" applyFill="1" applyBorder="1" applyAlignment="1">
      <alignment horizontal="center" vertical="center" wrapText="1"/>
    </xf>
    <xf numFmtId="9" fontId="8" fillId="9" borderId="15" xfId="2" applyFont="1" applyFill="1" applyBorder="1" applyAlignment="1">
      <alignment vertical="center" wrapText="1"/>
    </xf>
    <xf numFmtId="3" fontId="7" fillId="9" borderId="19" xfId="0" applyNumberFormat="1" applyFont="1" applyFill="1" applyBorder="1" applyAlignment="1">
      <alignment horizontal="center" vertical="center" wrapText="1"/>
    </xf>
    <xf numFmtId="37" fontId="3" fillId="0" borderId="11" xfId="0" applyNumberFormat="1" applyFont="1" applyBorder="1" applyAlignment="1">
      <alignment vertical="center"/>
    </xf>
    <xf numFmtId="9" fontId="3" fillId="0" borderId="11" xfId="2" applyFont="1" applyFill="1" applyBorder="1" applyAlignment="1">
      <alignment horizontal="center" vertical="center" wrapText="1"/>
    </xf>
    <xf numFmtId="3" fontId="3" fillId="8" borderId="15" xfId="0" applyNumberFormat="1" applyFont="1" applyFill="1" applyBorder="1" applyAlignment="1">
      <alignment vertical="center"/>
    </xf>
    <xf numFmtId="9" fontId="3" fillId="0" borderId="11" xfId="2" applyFont="1" applyFill="1" applyBorder="1" applyAlignment="1">
      <alignment vertical="center" wrapText="1"/>
    </xf>
    <xf numFmtId="37" fontId="3" fillId="11" borderId="32" xfId="2" applyNumberFormat="1" applyFont="1" applyFill="1" applyBorder="1" applyAlignment="1">
      <alignment vertical="center" wrapText="1"/>
    </xf>
    <xf numFmtId="3" fontId="3" fillId="8" borderId="32" xfId="2" applyNumberFormat="1" applyFont="1" applyFill="1" applyBorder="1" applyAlignment="1">
      <alignment vertical="center" wrapText="1"/>
    </xf>
    <xf numFmtId="3" fontId="3" fillId="6" borderId="15" xfId="1" applyNumberFormat="1" applyFont="1" applyFill="1" applyBorder="1" applyAlignment="1">
      <alignment vertical="center"/>
    </xf>
    <xf numFmtId="9" fontId="3" fillId="6" borderId="11" xfId="2" applyFont="1" applyFill="1" applyBorder="1" applyAlignment="1">
      <alignment vertical="center" wrapText="1"/>
    </xf>
    <xf numFmtId="2" fontId="3" fillId="4" borderId="32" xfId="2" applyNumberFormat="1" applyFont="1" applyFill="1" applyBorder="1" applyAlignment="1">
      <alignment vertical="center" wrapText="1"/>
    </xf>
    <xf numFmtId="3" fontId="3" fillId="8" borderId="11" xfId="2" applyNumberFormat="1" applyFont="1" applyFill="1" applyBorder="1" applyAlignment="1">
      <alignment vertical="center" wrapText="1"/>
    </xf>
    <xf numFmtId="3" fontId="3" fillId="0" borderId="15" xfId="1" applyNumberFormat="1" applyFont="1" applyBorder="1" applyAlignment="1">
      <alignment vertical="center"/>
    </xf>
    <xf numFmtId="3" fontId="8" fillId="9" borderId="12" xfId="0" applyNumberFormat="1" applyFont="1" applyFill="1" applyBorder="1" applyAlignment="1">
      <alignment horizontal="right" vertical="center"/>
    </xf>
    <xf numFmtId="9" fontId="8" fillId="9" borderId="12" xfId="2" applyFont="1" applyFill="1" applyBorder="1" applyAlignment="1">
      <alignment horizontal="center" vertical="center" wrapText="1"/>
    </xf>
    <xf numFmtId="3" fontId="3" fillId="0" borderId="11" xfId="0" applyNumberFormat="1" applyFont="1" applyBorder="1" applyAlignment="1">
      <alignment horizontal="center" vertical="center" wrapText="1"/>
    </xf>
    <xf numFmtId="9" fontId="8" fillId="9" borderId="8" xfId="2" applyFont="1" applyFill="1" applyBorder="1" applyAlignment="1">
      <alignment horizontal="center" vertical="center" wrapText="1"/>
    </xf>
    <xf numFmtId="9" fontId="8" fillId="9" borderId="8" xfId="2" applyFont="1" applyFill="1" applyBorder="1" applyAlignment="1">
      <alignment vertical="center" wrapText="1"/>
    </xf>
    <xf numFmtId="3" fontId="8" fillId="9" borderId="8" xfId="2" applyNumberFormat="1" applyFont="1" applyFill="1" applyBorder="1" applyAlignment="1">
      <alignment vertical="center" wrapText="1"/>
    </xf>
    <xf numFmtId="3" fontId="8" fillId="9" borderId="27" xfId="2" applyNumberFormat="1" applyFont="1" applyFill="1" applyBorder="1" applyAlignment="1">
      <alignment vertical="center" wrapText="1"/>
    </xf>
    <xf numFmtId="3" fontId="3" fillId="6" borderId="12" xfId="1" applyNumberFormat="1" applyFont="1" applyFill="1" applyBorder="1" applyAlignment="1">
      <alignment vertical="center"/>
    </xf>
    <xf numFmtId="3" fontId="8" fillId="9" borderId="22" xfId="2" applyNumberFormat="1" applyFont="1" applyFill="1" applyBorder="1" applyAlignment="1">
      <alignment vertical="center" wrapText="1"/>
    </xf>
    <xf numFmtId="3" fontId="3" fillId="7" borderId="11" xfId="2" applyNumberFormat="1" applyFont="1" applyFill="1" applyBorder="1" applyAlignment="1">
      <alignment vertical="center" wrapText="1"/>
    </xf>
    <xf numFmtId="9" fontId="19" fillId="9" borderId="12" xfId="2" applyFont="1" applyFill="1" applyBorder="1" applyAlignment="1">
      <alignment vertical="center" wrapText="1"/>
    </xf>
    <xf numFmtId="3" fontId="2" fillId="6" borderId="0" xfId="0" applyNumberFormat="1" applyFont="1" applyFill="1" applyAlignment="1">
      <alignment vertical="center"/>
    </xf>
    <xf numFmtId="3" fontId="13" fillId="0" borderId="12" xfId="0" applyNumberFormat="1" applyFont="1" applyBorder="1" applyAlignment="1">
      <alignment vertical="center" wrapText="1"/>
    </xf>
    <xf numFmtId="165" fontId="3" fillId="8" borderId="12" xfId="2" applyNumberFormat="1" applyFont="1" applyFill="1" applyBorder="1" applyAlignment="1">
      <alignment vertical="center" wrapText="1"/>
    </xf>
    <xf numFmtId="37" fontId="3" fillId="6" borderId="11" xfId="0" applyNumberFormat="1" applyFont="1" applyFill="1" applyBorder="1" applyAlignment="1">
      <alignment vertical="center"/>
    </xf>
    <xf numFmtId="3" fontId="7" fillId="9" borderId="7" xfId="0" applyNumberFormat="1" applyFont="1" applyFill="1" applyBorder="1" applyAlignment="1">
      <alignment vertical="center"/>
    </xf>
    <xf numFmtId="3" fontId="8" fillId="9" borderId="34" xfId="0" applyNumberFormat="1" applyFont="1" applyFill="1" applyBorder="1" applyAlignment="1">
      <alignment horizontal="right" vertical="center"/>
    </xf>
    <xf numFmtId="9" fontId="8" fillId="9" borderId="34" xfId="2" applyFont="1" applyFill="1" applyBorder="1" applyAlignment="1">
      <alignment horizontal="right" vertical="center"/>
    </xf>
    <xf numFmtId="3" fontId="8" fillId="9" borderId="34" xfId="2" applyNumberFormat="1" applyFont="1" applyFill="1" applyBorder="1" applyAlignment="1">
      <alignment horizontal="right" vertical="center"/>
    </xf>
    <xf numFmtId="3" fontId="8" fillId="9" borderId="34" xfId="2" applyNumberFormat="1" applyFont="1" applyFill="1" applyBorder="1" applyAlignment="1">
      <alignment vertical="center" wrapText="1"/>
    </xf>
    <xf numFmtId="1" fontId="3" fillId="11" borderId="33" xfId="2" applyNumberFormat="1" applyFont="1" applyFill="1" applyBorder="1" applyAlignment="1">
      <alignment vertical="center" wrapText="1"/>
    </xf>
    <xf numFmtId="1" fontId="3" fillId="8" borderId="33" xfId="2" applyNumberFormat="1" applyFont="1" applyFill="1" applyBorder="1" applyAlignment="1">
      <alignment vertical="center" wrapText="1"/>
    </xf>
    <xf numFmtId="9" fontId="3" fillId="6" borderId="14" xfId="2" applyFont="1" applyFill="1" applyBorder="1" applyAlignment="1">
      <alignment vertical="center" wrapText="1"/>
    </xf>
    <xf numFmtId="1" fontId="3" fillId="4" borderId="33" xfId="2" applyNumberFormat="1" applyFont="1" applyFill="1" applyBorder="1" applyAlignment="1">
      <alignment vertical="center" wrapText="1"/>
    </xf>
    <xf numFmtId="3" fontId="3" fillId="8" borderId="33" xfId="2" applyNumberFormat="1" applyFont="1" applyFill="1" applyBorder="1" applyAlignment="1">
      <alignment vertical="center" wrapText="1"/>
    </xf>
    <xf numFmtId="37" fontId="3" fillId="0" borderId="33" xfId="0" applyNumberFormat="1" applyFont="1" applyBorder="1" applyAlignment="1">
      <alignment vertical="center" wrapText="1"/>
    </xf>
    <xf numFmtId="3" fontId="8" fillId="9" borderId="2" xfId="2" applyNumberFormat="1" applyFont="1" applyFill="1" applyBorder="1" applyAlignment="1">
      <alignment vertical="center" wrapText="1"/>
    </xf>
    <xf numFmtId="9" fontId="8" fillId="9" borderId="9" xfId="2" applyFont="1" applyFill="1" applyBorder="1" applyAlignment="1">
      <alignment vertical="center" wrapText="1"/>
    </xf>
    <xf numFmtId="1" fontId="3" fillId="7" borderId="14" xfId="2" applyNumberFormat="1" applyFont="1" applyFill="1" applyBorder="1" applyAlignment="1">
      <alignment vertical="center" wrapText="1"/>
    </xf>
    <xf numFmtId="1" fontId="3" fillId="4" borderId="14" xfId="2" applyNumberFormat="1" applyFont="1" applyFill="1" applyBorder="1" applyAlignment="1">
      <alignment vertical="center" wrapText="1"/>
    </xf>
    <xf numFmtId="37" fontId="7" fillId="9" borderId="8" xfId="0" applyNumberFormat="1" applyFont="1" applyFill="1" applyBorder="1" applyAlignment="1">
      <alignment vertical="center"/>
    </xf>
    <xf numFmtId="3" fontId="7" fillId="9" borderId="35" xfId="0" applyNumberFormat="1" applyFont="1" applyFill="1" applyBorder="1" applyAlignment="1">
      <alignment vertical="center"/>
    </xf>
    <xf numFmtId="3" fontId="15" fillId="9" borderId="8" xfId="0" applyNumberFormat="1" applyFont="1" applyFill="1" applyBorder="1" applyAlignment="1">
      <alignment horizontal="right" vertical="center"/>
    </xf>
    <xf numFmtId="3" fontId="15" fillId="9" borderId="34" xfId="0" applyNumberFormat="1" applyFont="1" applyFill="1" applyBorder="1" applyAlignment="1">
      <alignment horizontal="right" vertical="center"/>
    </xf>
    <xf numFmtId="37" fontId="8" fillId="9" borderId="8" xfId="2" applyNumberFormat="1" applyFont="1" applyFill="1" applyBorder="1" applyAlignment="1">
      <alignment vertical="center" wrapText="1"/>
    </xf>
    <xf numFmtId="9" fontId="15" fillId="9" borderId="9" xfId="2" applyFont="1" applyFill="1" applyBorder="1" applyAlignment="1">
      <alignment vertical="center" wrapText="1"/>
    </xf>
    <xf numFmtId="9" fontId="4" fillId="0" borderId="0" xfId="2" applyFont="1" applyFill="1" applyAlignment="1">
      <alignment vertical="center"/>
    </xf>
    <xf numFmtId="3" fontId="8" fillId="9" borderId="28" xfId="0" applyNumberFormat="1" applyFont="1" applyFill="1" applyBorder="1" applyAlignment="1">
      <alignment horizontal="right" vertical="center"/>
    </xf>
    <xf numFmtId="9" fontId="8" fillId="9" borderId="28" xfId="2" applyFont="1" applyFill="1" applyBorder="1" applyAlignment="1">
      <alignment vertical="center" wrapText="1"/>
    </xf>
    <xf numFmtId="3" fontId="8" fillId="9" borderId="16" xfId="0" applyNumberFormat="1" applyFont="1" applyFill="1" applyBorder="1" applyAlignment="1">
      <alignment horizontal="right" vertical="center"/>
    </xf>
    <xf numFmtId="1" fontId="3" fillId="11" borderId="32" xfId="2" applyNumberFormat="1" applyFont="1" applyFill="1" applyBorder="1" applyAlignment="1">
      <alignment vertical="center" wrapText="1"/>
    </xf>
    <xf numFmtId="1" fontId="3" fillId="8" borderId="32" xfId="2" applyNumberFormat="1" applyFont="1" applyFill="1" applyBorder="1" applyAlignment="1">
      <alignment vertical="center" wrapText="1"/>
    </xf>
    <xf numFmtId="1" fontId="3" fillId="4" borderId="11" xfId="2" applyNumberFormat="1" applyFont="1" applyFill="1" applyBorder="1" applyAlignment="1">
      <alignment vertical="center" wrapText="1"/>
    </xf>
    <xf numFmtId="9" fontId="12" fillId="0" borderId="16" xfId="2" applyFont="1" applyFill="1" applyBorder="1" applyAlignment="1">
      <alignment horizontal="left" vertical="center" wrapText="1"/>
    </xf>
    <xf numFmtId="1" fontId="3" fillId="7" borderId="11" xfId="2" applyNumberFormat="1" applyFont="1" applyFill="1" applyBorder="1" applyAlignment="1">
      <alignment vertical="center" wrapText="1"/>
    </xf>
    <xf numFmtId="3" fontId="8" fillId="9" borderId="14" xfId="2" applyNumberFormat="1" applyFont="1" applyFill="1" applyBorder="1" applyAlignment="1">
      <alignment vertical="center" wrapText="1"/>
    </xf>
    <xf numFmtId="3" fontId="3" fillId="7" borderId="33" xfId="2" applyNumberFormat="1" applyFont="1" applyFill="1" applyBorder="1" applyAlignment="1">
      <alignment vertical="center" wrapText="1"/>
    </xf>
    <xf numFmtId="1" fontId="3" fillId="7" borderId="33" xfId="2" applyNumberFormat="1" applyFont="1" applyFill="1" applyBorder="1" applyAlignment="1">
      <alignment vertical="center" wrapText="1"/>
    </xf>
    <xf numFmtId="37" fontId="3" fillId="7" borderId="14" xfId="2" applyNumberFormat="1" applyFont="1" applyFill="1" applyBorder="1" applyAlignment="1">
      <alignment vertical="center" wrapText="1"/>
    </xf>
    <xf numFmtId="165" fontId="3" fillId="7" borderId="12" xfId="2" applyNumberFormat="1" applyFont="1" applyFill="1" applyBorder="1" applyAlignment="1">
      <alignment vertical="center" wrapText="1"/>
    </xf>
    <xf numFmtId="3" fontId="15" fillId="9" borderId="27" xfId="0" applyNumberFormat="1" applyFont="1" applyFill="1" applyBorder="1" applyAlignment="1">
      <alignment horizontal="right" vertical="center"/>
    </xf>
    <xf numFmtId="3" fontId="8" fillId="9" borderId="36" xfId="0" applyNumberFormat="1" applyFont="1" applyFill="1" applyBorder="1" applyAlignment="1">
      <alignment horizontal="right" vertical="center"/>
    </xf>
    <xf numFmtId="9" fontId="8" fillId="9" borderId="36" xfId="2" applyFont="1" applyFill="1" applyBorder="1" applyAlignment="1">
      <alignment horizontal="right" vertical="center"/>
    </xf>
    <xf numFmtId="3" fontId="8" fillId="9" borderId="36" xfId="2" applyNumberFormat="1" applyFont="1" applyFill="1" applyBorder="1" applyAlignment="1">
      <alignment vertical="center" wrapText="1"/>
    </xf>
    <xf numFmtId="9" fontId="8" fillId="9" borderId="27" xfId="2" applyFont="1" applyFill="1" applyBorder="1" applyAlignment="1">
      <alignment vertical="center" wrapText="1"/>
    </xf>
    <xf numFmtId="3" fontId="8" fillId="9" borderId="15" xfId="0" applyNumberFormat="1" applyFont="1" applyFill="1" applyBorder="1" applyAlignment="1">
      <alignment horizontal="right" vertical="center"/>
    </xf>
    <xf numFmtId="9" fontId="8" fillId="9" borderId="14" xfId="2" applyFont="1" applyFill="1" applyBorder="1" applyAlignment="1">
      <alignment horizontal="center" vertical="center" wrapText="1"/>
    </xf>
    <xf numFmtId="3" fontId="8" fillId="9" borderId="14" xfId="0" applyNumberFormat="1" applyFont="1" applyFill="1" applyBorder="1" applyAlignment="1">
      <alignment horizontal="right" vertical="center"/>
    </xf>
    <xf numFmtId="3" fontId="8" fillId="9" borderId="15" xfId="2" applyNumberFormat="1" applyFont="1" applyFill="1" applyBorder="1" applyAlignment="1">
      <alignment vertical="center" wrapText="1"/>
    </xf>
    <xf numFmtId="3" fontId="3" fillId="0" borderId="39" xfId="0" applyNumberFormat="1" applyFont="1" applyBorder="1" applyAlignment="1">
      <alignment vertical="center"/>
    </xf>
    <xf numFmtId="3" fontId="3" fillId="7" borderId="41" xfId="0" applyNumberFormat="1" applyFont="1" applyFill="1" applyBorder="1" applyAlignment="1">
      <alignment horizontal="right" vertical="center"/>
    </xf>
    <xf numFmtId="3" fontId="3" fillId="4" borderId="41" xfId="0" applyNumberFormat="1" applyFont="1" applyFill="1" applyBorder="1" applyAlignment="1">
      <alignment vertical="center"/>
    </xf>
    <xf numFmtId="3" fontId="3" fillId="0" borderId="41" xfId="1" applyNumberFormat="1" applyFont="1" applyBorder="1" applyAlignment="1">
      <alignment vertical="center"/>
    </xf>
    <xf numFmtId="9" fontId="3" fillId="0" borderId="41" xfId="2" applyFont="1" applyFill="1" applyBorder="1" applyAlignment="1">
      <alignment horizontal="center" vertical="center" wrapText="1"/>
    </xf>
    <xf numFmtId="3" fontId="3" fillId="7" borderId="41" xfId="0" applyNumberFormat="1" applyFont="1" applyFill="1" applyBorder="1" applyAlignment="1">
      <alignment vertical="center"/>
    </xf>
    <xf numFmtId="164" fontId="3" fillId="7" borderId="41" xfId="1" applyNumberFormat="1" applyFont="1" applyFill="1" applyBorder="1" applyAlignment="1">
      <alignment vertical="center"/>
    </xf>
    <xf numFmtId="164" fontId="3" fillId="8" borderId="40" xfId="1" applyNumberFormat="1" applyFont="1" applyFill="1" applyBorder="1" applyAlignment="1">
      <alignment vertical="center"/>
    </xf>
    <xf numFmtId="9" fontId="3" fillId="0" borderId="41" xfId="2" applyFont="1" applyFill="1" applyBorder="1" applyAlignment="1">
      <alignment vertical="center" wrapText="1"/>
    </xf>
    <xf numFmtId="1" fontId="3" fillId="11" borderId="42" xfId="2" applyNumberFormat="1" applyFont="1" applyFill="1" applyBorder="1" applyAlignment="1">
      <alignment vertical="center" wrapText="1"/>
    </xf>
    <xf numFmtId="1" fontId="3" fillId="8" borderId="42" xfId="2" applyNumberFormat="1" applyFont="1" applyFill="1" applyBorder="1" applyAlignment="1">
      <alignment vertical="center" wrapText="1"/>
    </xf>
    <xf numFmtId="3" fontId="3" fillId="6" borderId="41" xfId="1" applyNumberFormat="1" applyFont="1" applyFill="1" applyBorder="1" applyAlignment="1">
      <alignment vertical="center"/>
    </xf>
    <xf numFmtId="9" fontId="3" fillId="6" borderId="41" xfId="2" applyFont="1" applyFill="1" applyBorder="1" applyAlignment="1">
      <alignment vertical="center" wrapText="1"/>
    </xf>
    <xf numFmtId="1" fontId="3" fillId="7" borderId="41" xfId="2" applyNumberFormat="1" applyFont="1" applyFill="1" applyBorder="1" applyAlignment="1">
      <alignment vertical="center" wrapText="1"/>
    </xf>
    <xf numFmtId="1" fontId="3" fillId="4" borderId="41" xfId="2" applyNumberFormat="1" applyFont="1" applyFill="1" applyBorder="1" applyAlignment="1">
      <alignment vertical="center" wrapText="1"/>
    </xf>
    <xf numFmtId="37" fontId="3" fillId="7" borderId="41" xfId="2" applyNumberFormat="1" applyFont="1" applyFill="1" applyBorder="1" applyAlignment="1">
      <alignment vertical="center" wrapText="1"/>
    </xf>
    <xf numFmtId="3" fontId="3" fillId="8" borderId="41" xfId="2" applyNumberFormat="1" applyFont="1" applyFill="1" applyBorder="1" applyAlignment="1">
      <alignment vertical="center" wrapText="1"/>
    </xf>
    <xf numFmtId="9" fontId="3" fillId="0" borderId="43" xfId="2" applyFont="1" applyFill="1" applyBorder="1" applyAlignment="1">
      <alignment vertical="center" wrapText="1"/>
    </xf>
    <xf numFmtId="3" fontId="3" fillId="0" borderId="44" xfId="0" applyNumberFormat="1" applyFont="1" applyBorder="1" applyAlignment="1">
      <alignment vertical="center"/>
    </xf>
    <xf numFmtId="9" fontId="3" fillId="0" borderId="45" xfId="2" applyFont="1" applyFill="1" applyBorder="1" applyAlignment="1">
      <alignment vertical="center" wrapText="1"/>
    </xf>
    <xf numFmtId="3" fontId="3" fillId="0" borderId="46" xfId="0" applyNumberFormat="1" applyFont="1" applyBorder="1" applyAlignment="1">
      <alignment vertical="center"/>
    </xf>
    <xf numFmtId="3" fontId="3" fillId="4" borderId="18" xfId="0" applyNumberFormat="1" applyFont="1" applyFill="1" applyBorder="1" applyAlignment="1">
      <alignment vertical="center"/>
    </xf>
    <xf numFmtId="3" fontId="3" fillId="0" borderId="18" xfId="1" applyNumberFormat="1" applyFont="1" applyBorder="1" applyAlignment="1">
      <alignment vertical="center"/>
    </xf>
    <xf numFmtId="1" fontId="3" fillId="11" borderId="47" xfId="2" applyNumberFormat="1" applyFont="1" applyFill="1" applyBorder="1" applyAlignment="1">
      <alignment vertical="center" wrapText="1"/>
    </xf>
    <xf numFmtId="1" fontId="3" fillId="8" borderId="47" xfId="2" applyNumberFormat="1" applyFont="1" applyFill="1" applyBorder="1" applyAlignment="1">
      <alignment vertical="center" wrapText="1"/>
    </xf>
    <xf numFmtId="3" fontId="3" fillId="6" borderId="21" xfId="1" applyNumberFormat="1" applyFont="1" applyFill="1" applyBorder="1" applyAlignment="1">
      <alignment vertical="center"/>
    </xf>
    <xf numFmtId="1" fontId="3" fillId="7" borderId="18" xfId="2" applyNumberFormat="1" applyFont="1" applyFill="1" applyBorder="1" applyAlignment="1">
      <alignment vertical="center" wrapText="1"/>
    </xf>
    <xf numFmtId="1" fontId="3" fillId="4" borderId="18" xfId="2" applyNumberFormat="1" applyFont="1" applyFill="1" applyBorder="1" applyAlignment="1">
      <alignment vertical="center" wrapText="1"/>
    </xf>
    <xf numFmtId="3" fontId="3" fillId="0" borderId="21" xfId="1" applyNumberFormat="1" applyFont="1" applyBorder="1" applyAlignment="1">
      <alignment vertical="center"/>
    </xf>
    <xf numFmtId="9" fontId="3" fillId="0" borderId="48" xfId="2" applyFont="1" applyFill="1" applyBorder="1" applyAlignment="1">
      <alignment vertical="center" wrapText="1"/>
    </xf>
    <xf numFmtId="3" fontId="12" fillId="9" borderId="20" xfId="0" applyNumberFormat="1" applyFont="1" applyFill="1" applyBorder="1" applyAlignment="1">
      <alignment vertical="center"/>
    </xf>
    <xf numFmtId="3" fontId="20" fillId="2" borderId="0" xfId="0" applyNumberFormat="1" applyFont="1" applyFill="1" applyAlignment="1">
      <alignment vertical="center"/>
    </xf>
    <xf numFmtId="37" fontId="5" fillId="7" borderId="49" xfId="0" applyNumberFormat="1" applyFont="1" applyFill="1" applyBorder="1" applyAlignment="1">
      <alignment horizontal="center" vertical="center" wrapText="1"/>
    </xf>
    <xf numFmtId="3" fontId="3" fillId="0" borderId="50" xfId="0" applyNumberFormat="1" applyFont="1" applyBorder="1" applyAlignment="1">
      <alignment vertical="center"/>
    </xf>
    <xf numFmtId="3" fontId="3" fillId="6" borderId="51" xfId="0" applyNumberFormat="1" applyFont="1" applyFill="1" applyBorder="1" applyAlignment="1">
      <alignment vertical="center"/>
    </xf>
    <xf numFmtId="3" fontId="3" fillId="4" borderId="41" xfId="0" applyNumberFormat="1" applyFont="1" applyFill="1" applyBorder="1" applyAlignment="1">
      <alignment horizontal="right" vertical="center"/>
    </xf>
    <xf numFmtId="37" fontId="3" fillId="7" borderId="41" xfId="0" applyNumberFormat="1" applyFont="1" applyFill="1" applyBorder="1" applyAlignment="1">
      <alignment vertical="center"/>
    </xf>
    <xf numFmtId="2" fontId="3" fillId="8" borderId="42" xfId="2" applyNumberFormat="1" applyFont="1" applyFill="1" applyBorder="1" applyAlignment="1">
      <alignment vertical="center" wrapText="1"/>
    </xf>
    <xf numFmtId="2" fontId="3" fillId="0" borderId="41" xfId="2" applyNumberFormat="1" applyFont="1" applyFill="1" applyBorder="1" applyAlignment="1">
      <alignment vertical="center" wrapText="1"/>
    </xf>
    <xf numFmtId="3" fontId="3" fillId="7" borderId="41" xfId="2" applyNumberFormat="1" applyFont="1" applyFill="1" applyBorder="1" applyAlignment="1">
      <alignment vertical="center" wrapText="1"/>
    </xf>
    <xf numFmtId="2" fontId="3" fillId="4" borderId="41" xfId="2" applyNumberFormat="1" applyFont="1" applyFill="1" applyBorder="1" applyAlignment="1">
      <alignment vertical="center" wrapText="1"/>
    </xf>
    <xf numFmtId="0" fontId="3" fillId="6" borderId="44" xfId="0" applyFont="1" applyFill="1" applyBorder="1" applyAlignment="1">
      <alignment vertical="center"/>
    </xf>
    <xf numFmtId="3" fontId="3" fillId="6" borderId="38" xfId="0" applyNumberFormat="1" applyFont="1" applyFill="1" applyBorder="1" applyAlignment="1">
      <alignment vertical="center"/>
    </xf>
    <xf numFmtId="3" fontId="3" fillId="6" borderId="52" xfId="0" applyNumberFormat="1" applyFont="1" applyFill="1" applyBorder="1" applyAlignment="1">
      <alignment vertical="center"/>
    </xf>
    <xf numFmtId="3" fontId="3" fillId="7" borderId="21" xfId="0" applyNumberFormat="1" applyFont="1" applyFill="1" applyBorder="1" applyAlignment="1">
      <alignment horizontal="right" vertical="center"/>
    </xf>
    <xf numFmtId="3" fontId="3" fillId="4" borderId="18" xfId="0" applyNumberFormat="1" applyFont="1" applyFill="1" applyBorder="1" applyAlignment="1">
      <alignment horizontal="right" vertical="center"/>
    </xf>
    <xf numFmtId="3" fontId="3" fillId="7" borderId="18" xfId="0" applyNumberFormat="1" applyFont="1" applyFill="1" applyBorder="1" applyAlignment="1">
      <alignment vertical="center"/>
    </xf>
    <xf numFmtId="1" fontId="3" fillId="0" borderId="18" xfId="2" applyNumberFormat="1" applyFont="1" applyFill="1" applyBorder="1" applyAlignment="1">
      <alignment vertical="center" wrapText="1"/>
    </xf>
    <xf numFmtId="1" fontId="3" fillId="8" borderId="18" xfId="2" applyNumberFormat="1" applyFont="1" applyFill="1" applyBorder="1" applyAlignment="1">
      <alignment vertical="center" wrapText="1"/>
    </xf>
    <xf numFmtId="2" fontId="3" fillId="11" borderId="33" xfId="2" applyNumberFormat="1" applyFont="1" applyFill="1" applyBorder="1" applyAlignment="1">
      <alignment vertical="center" wrapText="1"/>
    </xf>
    <xf numFmtId="2" fontId="3" fillId="8" borderId="33" xfId="2" applyNumberFormat="1" applyFont="1" applyFill="1" applyBorder="1" applyAlignment="1">
      <alignment vertical="center" wrapText="1"/>
    </xf>
    <xf numFmtId="2" fontId="3" fillId="6" borderId="14" xfId="2" applyNumberFormat="1" applyFont="1" applyFill="1" applyBorder="1" applyAlignment="1">
      <alignment vertical="center" wrapText="1"/>
    </xf>
    <xf numFmtId="2" fontId="3" fillId="7" borderId="14" xfId="2" applyNumberFormat="1" applyFont="1" applyFill="1" applyBorder="1" applyAlignment="1">
      <alignment vertical="center" wrapText="1"/>
    </xf>
    <xf numFmtId="2" fontId="3" fillId="4" borderId="14" xfId="2" applyNumberFormat="1" applyFont="1" applyFill="1" applyBorder="1" applyAlignment="1">
      <alignment vertical="center" wrapText="1"/>
    </xf>
    <xf numFmtId="2" fontId="3" fillId="0" borderId="14" xfId="2" applyNumberFormat="1" applyFont="1" applyFill="1" applyBorder="1" applyAlignment="1">
      <alignment vertical="center" wrapText="1"/>
    </xf>
    <xf numFmtId="2" fontId="3" fillId="8" borderId="14" xfId="2" applyNumberFormat="1" applyFont="1" applyFill="1" applyBorder="1" applyAlignment="1">
      <alignment vertical="center" wrapText="1"/>
    </xf>
    <xf numFmtId="1" fontId="8" fillId="9" borderId="34" xfId="2" applyNumberFormat="1" applyFont="1" applyFill="1" applyBorder="1" applyAlignment="1">
      <alignment vertical="center" wrapText="1"/>
    </xf>
    <xf numFmtId="2" fontId="8" fillId="9" borderId="8" xfId="2" applyNumberFormat="1" applyFont="1" applyFill="1" applyBorder="1" applyAlignment="1">
      <alignment vertical="center" wrapText="1"/>
    </xf>
    <xf numFmtId="1" fontId="8" fillId="9" borderId="22" xfId="2" applyNumberFormat="1" applyFont="1" applyFill="1" applyBorder="1" applyAlignment="1">
      <alignment vertical="center" wrapText="1"/>
    </xf>
    <xf numFmtId="3" fontId="3" fillId="9" borderId="8" xfId="0" applyNumberFormat="1" applyFont="1" applyFill="1" applyBorder="1" applyAlignment="1">
      <alignment horizontal="center" vertical="center" textRotation="90"/>
    </xf>
    <xf numFmtId="3" fontId="19" fillId="9" borderId="8" xfId="0" applyNumberFormat="1" applyFont="1" applyFill="1" applyBorder="1" applyAlignment="1">
      <alignment horizontal="right" vertical="center"/>
    </xf>
    <xf numFmtId="3" fontId="19" fillId="9" borderId="8" xfId="1" applyNumberFormat="1" applyFont="1" applyFill="1" applyBorder="1" applyAlignment="1">
      <alignment vertical="center"/>
    </xf>
    <xf numFmtId="3" fontId="19" fillId="9" borderId="8" xfId="0" applyNumberFormat="1" applyFont="1" applyFill="1" applyBorder="1" applyAlignment="1">
      <alignment vertical="center"/>
    </xf>
    <xf numFmtId="9" fontId="2" fillId="6" borderId="0" xfId="2" applyFont="1" applyFill="1" applyAlignment="1">
      <alignment vertical="center"/>
    </xf>
    <xf numFmtId="3" fontId="2" fillId="0" borderId="0" xfId="0" applyNumberFormat="1" applyFont="1" applyAlignment="1">
      <alignment vertical="center"/>
    </xf>
    <xf numFmtId="3" fontId="2" fillId="9" borderId="22" xfId="0" applyNumberFormat="1" applyFont="1" applyFill="1" applyBorder="1" applyAlignment="1">
      <alignment vertical="center"/>
    </xf>
    <xf numFmtId="3" fontId="11" fillId="0" borderId="16" xfId="0" applyNumberFormat="1" applyFont="1" applyBorder="1" applyAlignment="1">
      <alignment vertical="center" wrapText="1"/>
    </xf>
    <xf numFmtId="3" fontId="3" fillId="11" borderId="33" xfId="2" applyNumberFormat="1" applyFont="1" applyFill="1" applyBorder="1" applyAlignment="1">
      <alignment vertical="center" wrapText="1"/>
    </xf>
    <xf numFmtId="3" fontId="3" fillId="8" borderId="0" xfId="2" applyNumberFormat="1" applyFont="1" applyFill="1" applyBorder="1" applyAlignment="1">
      <alignment vertical="center" wrapText="1"/>
    </xf>
    <xf numFmtId="3" fontId="3" fillId="8" borderId="14" xfId="2" applyNumberFormat="1" applyFont="1" applyFill="1" applyBorder="1" applyAlignment="1">
      <alignment vertical="center" wrapText="1"/>
    </xf>
    <xf numFmtId="3" fontId="3" fillId="0" borderId="50" xfId="0" applyNumberFormat="1" applyFont="1" applyBorder="1" applyAlignment="1">
      <alignment horizontal="center" vertical="center" wrapText="1"/>
    </xf>
    <xf numFmtId="3" fontId="3" fillId="0" borderId="53" xfId="0" applyNumberFormat="1" applyFont="1" applyBorder="1" applyAlignment="1">
      <alignment horizontal="center" vertical="center" wrapText="1"/>
    </xf>
    <xf numFmtId="3" fontId="3" fillId="0" borderId="54" xfId="0" applyNumberFormat="1" applyFont="1" applyBorder="1" applyAlignment="1">
      <alignment horizontal="center" vertical="center" wrapText="1"/>
    </xf>
    <xf numFmtId="3" fontId="2" fillId="0" borderId="10" xfId="0" applyNumberFormat="1" applyFont="1" applyBorder="1" applyAlignment="1">
      <alignment horizontal="center" vertical="center" wrapText="1"/>
    </xf>
    <xf numFmtId="3" fontId="3" fillId="0" borderId="55" xfId="0" applyNumberFormat="1" applyFont="1" applyBorder="1" applyAlignment="1">
      <alignment horizontal="center" vertical="center" wrapText="1"/>
    </xf>
    <xf numFmtId="9" fontId="3" fillId="0" borderId="56" xfId="2" applyFont="1" applyFill="1" applyBorder="1" applyAlignment="1">
      <alignment vertical="center" wrapText="1"/>
    </xf>
    <xf numFmtId="9" fontId="3" fillId="0" borderId="57" xfId="2" applyFont="1" applyFill="1" applyBorder="1" applyAlignment="1">
      <alignment vertical="center" wrapText="1"/>
    </xf>
    <xf numFmtId="3" fontId="3" fillId="0" borderId="10" xfId="0" applyNumberFormat="1" applyFont="1" applyBorder="1" applyAlignment="1">
      <alignment horizontal="center" vertical="center"/>
    </xf>
    <xf numFmtId="37" fontId="3" fillId="8" borderId="0" xfId="0" applyNumberFormat="1" applyFont="1" applyFill="1" applyAlignment="1">
      <alignment vertical="center"/>
    </xf>
    <xf numFmtId="9" fontId="8" fillId="9" borderId="45" xfId="2" applyFont="1" applyFill="1" applyBorder="1" applyAlignment="1">
      <alignment vertical="center" wrapText="1"/>
    </xf>
    <xf numFmtId="3" fontId="3" fillId="0" borderId="54" xfId="2" applyNumberFormat="1" applyFont="1" applyBorder="1" applyAlignment="1">
      <alignment horizontal="center" vertical="center" wrapText="1"/>
    </xf>
    <xf numFmtId="3" fontId="3" fillId="0" borderId="10" xfId="2" applyNumberFormat="1" applyFont="1" applyBorder="1" applyAlignment="1">
      <alignment horizontal="center" vertical="center" wrapText="1"/>
    </xf>
    <xf numFmtId="3" fontId="10" fillId="6" borderId="0" xfId="0" applyNumberFormat="1" applyFont="1" applyFill="1" applyAlignment="1">
      <alignment vertical="center"/>
    </xf>
    <xf numFmtId="1" fontId="15" fillId="9" borderId="47" xfId="2" applyNumberFormat="1" applyFont="1" applyFill="1" applyBorder="1" applyAlignment="1">
      <alignment vertical="center" wrapText="1"/>
    </xf>
    <xf numFmtId="1" fontId="8" fillId="9" borderId="18" xfId="2" applyNumberFormat="1" applyFont="1" applyFill="1" applyBorder="1" applyAlignment="1">
      <alignment vertical="center" wrapText="1"/>
    </xf>
    <xf numFmtId="1" fontId="8" fillId="9" borderId="47" xfId="2" applyNumberFormat="1" applyFont="1" applyFill="1" applyBorder="1" applyAlignment="1">
      <alignment vertical="center" wrapText="1"/>
    </xf>
    <xf numFmtId="1" fontId="8" fillId="9" borderId="21" xfId="1" applyNumberFormat="1" applyFont="1" applyFill="1" applyBorder="1" applyAlignment="1">
      <alignment vertical="center"/>
    </xf>
    <xf numFmtId="9" fontId="8" fillId="9" borderId="48" xfId="2" applyFont="1" applyFill="1" applyBorder="1" applyAlignment="1">
      <alignment vertical="center" wrapText="1"/>
    </xf>
    <xf numFmtId="3" fontId="3" fillId="0" borderId="17" xfId="0" applyNumberFormat="1" applyFont="1" applyBorder="1" applyAlignment="1">
      <alignment vertical="center"/>
    </xf>
    <xf numFmtId="3" fontId="3" fillId="7" borderId="14" xfId="2" applyNumberFormat="1" applyFont="1" applyFill="1" applyBorder="1" applyAlignment="1">
      <alignment vertical="center" wrapText="1"/>
    </xf>
    <xf numFmtId="1" fontId="8" fillId="9" borderId="8" xfId="2" applyNumberFormat="1" applyFont="1" applyFill="1" applyBorder="1" applyAlignment="1">
      <alignment vertical="center" wrapText="1"/>
    </xf>
    <xf numFmtId="37" fontId="11" fillId="6" borderId="16" xfId="0" applyNumberFormat="1" applyFont="1" applyFill="1" applyBorder="1" applyAlignment="1">
      <alignment vertical="center" wrapText="1"/>
    </xf>
    <xf numFmtId="3" fontId="7" fillId="9" borderId="0" xfId="0" applyNumberFormat="1" applyFont="1" applyFill="1" applyAlignment="1">
      <alignment vertical="center" wrapText="1"/>
    </xf>
    <xf numFmtId="3" fontId="3" fillId="0" borderId="32" xfId="0" applyNumberFormat="1" applyFont="1" applyBorder="1" applyAlignment="1">
      <alignment vertical="top" wrapText="1"/>
    </xf>
    <xf numFmtId="3" fontId="6" fillId="9" borderId="0" xfId="0" applyNumberFormat="1" applyFont="1" applyFill="1" applyAlignment="1">
      <alignment vertical="center" wrapText="1"/>
    </xf>
    <xf numFmtId="9" fontId="11" fillId="0" borderId="29" xfId="2" applyFont="1" applyBorder="1" applyAlignment="1">
      <alignment vertical="center" wrapText="1"/>
    </xf>
    <xf numFmtId="9" fontId="12" fillId="0" borderId="29" xfId="2" applyFont="1" applyBorder="1" applyAlignment="1">
      <alignment vertical="center" wrapText="1"/>
    </xf>
    <xf numFmtId="0" fontId="5" fillId="3" borderId="49" xfId="0" applyFont="1" applyFill="1" applyBorder="1" applyAlignment="1">
      <alignment horizontal="center" vertical="center" wrapText="1"/>
    </xf>
    <xf numFmtId="3" fontId="5" fillId="4" borderId="15" xfId="0" applyNumberFormat="1" applyFont="1" applyFill="1" applyBorder="1" applyAlignment="1">
      <alignment horizontal="center" vertical="center" wrapText="1"/>
    </xf>
    <xf numFmtId="3" fontId="5" fillId="0" borderId="15" xfId="0" applyNumberFormat="1" applyFont="1" applyBorder="1" applyAlignment="1">
      <alignment horizontal="center" vertical="center" wrapText="1"/>
    </xf>
    <xf numFmtId="37" fontId="5" fillId="0" borderId="58" xfId="0" applyNumberFormat="1" applyFont="1" applyBorder="1" applyAlignment="1">
      <alignment horizontal="center" vertical="center" wrapText="1"/>
    </xf>
    <xf numFmtId="37" fontId="4" fillId="2" borderId="22" xfId="0" applyNumberFormat="1" applyFont="1" applyFill="1" applyBorder="1" applyAlignment="1">
      <alignment horizontal="center" vertical="center"/>
    </xf>
    <xf numFmtId="2" fontId="2" fillId="9" borderId="8" xfId="2" applyNumberFormat="1" applyFont="1" applyFill="1" applyBorder="1" applyAlignment="1">
      <alignment vertical="center" wrapText="1"/>
    </xf>
    <xf numFmtId="1" fontId="2" fillId="9" borderId="22" xfId="2" applyNumberFormat="1" applyFont="1" applyFill="1" applyBorder="1" applyAlignment="1">
      <alignment vertical="center" wrapText="1"/>
    </xf>
    <xf numFmtId="3" fontId="2" fillId="9" borderId="8" xfId="1" applyNumberFormat="1" applyFont="1" applyFill="1" applyBorder="1" applyAlignment="1">
      <alignment vertical="center"/>
    </xf>
    <xf numFmtId="9" fontId="19" fillId="9" borderId="21" xfId="2" applyFont="1" applyFill="1" applyBorder="1" applyAlignment="1">
      <alignment horizontal="center" vertical="center" wrapText="1"/>
    </xf>
    <xf numFmtId="9" fontId="19" fillId="9" borderId="21" xfId="2" applyFont="1" applyFill="1" applyBorder="1" applyAlignment="1">
      <alignment vertical="center" wrapText="1"/>
    </xf>
    <xf numFmtId="3" fontId="2" fillId="0" borderId="10" xfId="2" applyNumberFormat="1" applyFont="1" applyBorder="1" applyAlignment="1">
      <alignment horizontal="center" vertical="center" wrapText="1"/>
    </xf>
    <xf numFmtId="3" fontId="2" fillId="12" borderId="0" xfId="0" applyNumberFormat="1" applyFont="1" applyFill="1" applyAlignment="1">
      <alignment vertical="center"/>
    </xf>
    <xf numFmtId="3" fontId="2" fillId="0" borderId="4" xfId="2" applyNumberFormat="1" applyFont="1" applyBorder="1" applyAlignment="1">
      <alignment horizontal="center" vertical="center" wrapText="1"/>
    </xf>
    <xf numFmtId="3" fontId="2" fillId="9" borderId="21" xfId="1" applyNumberFormat="1" applyFont="1" applyFill="1" applyBorder="1" applyAlignment="1">
      <alignment vertical="center"/>
    </xf>
    <xf numFmtId="2" fontId="2" fillId="9" borderId="18" xfId="2" applyNumberFormat="1" applyFont="1" applyFill="1" applyBorder="1" applyAlignment="1">
      <alignment vertical="center" wrapText="1"/>
    </xf>
    <xf numFmtId="3" fontId="2" fillId="0" borderId="19" xfId="0" applyNumberFormat="1" applyFont="1" applyBorder="1" applyAlignment="1">
      <alignment horizontal="center" vertical="center"/>
    </xf>
    <xf numFmtId="3" fontId="2" fillId="9" borderId="0" xfId="0" applyNumberFormat="1" applyFont="1" applyFill="1" applyAlignment="1">
      <alignment vertical="center"/>
    </xf>
    <xf numFmtId="9" fontId="2" fillId="9" borderId="14" xfId="2" applyFont="1" applyFill="1" applyBorder="1" applyAlignment="1">
      <alignment vertical="center" wrapText="1"/>
    </xf>
    <xf numFmtId="9" fontId="2" fillId="9" borderId="12" xfId="2" applyFont="1" applyFill="1" applyBorder="1" applyAlignment="1">
      <alignment vertical="center" wrapText="1"/>
    </xf>
    <xf numFmtId="3" fontId="2" fillId="9" borderId="7" xfId="0" applyNumberFormat="1" applyFont="1" applyFill="1" applyBorder="1" applyAlignment="1">
      <alignment horizontal="center" vertical="center" textRotation="90"/>
    </xf>
    <xf numFmtId="3" fontId="7" fillId="9" borderId="16" xfId="0" applyNumberFormat="1" applyFont="1" applyFill="1" applyBorder="1" applyAlignment="1">
      <alignment vertical="center" wrapText="1"/>
    </xf>
    <xf numFmtId="1" fontId="19" fillId="9" borderId="16" xfId="2" applyNumberFormat="1" applyFont="1" applyFill="1" applyBorder="1" applyAlignment="1">
      <alignment vertical="center" wrapText="1"/>
    </xf>
    <xf numFmtId="1" fontId="19" fillId="9" borderId="12" xfId="2" applyNumberFormat="1" applyFont="1" applyFill="1" applyBorder="1" applyAlignment="1">
      <alignment vertical="center" wrapText="1"/>
    </xf>
    <xf numFmtId="1" fontId="19" fillId="9" borderId="14" xfId="1" applyNumberFormat="1" applyFont="1" applyFill="1" applyBorder="1" applyAlignment="1">
      <alignment vertical="center"/>
    </xf>
    <xf numFmtId="3" fontId="3" fillId="0" borderId="14" xfId="0" applyNumberFormat="1" applyFont="1" applyBorder="1" applyAlignment="1">
      <alignment horizontal="center" vertical="center" wrapText="1"/>
    </xf>
    <xf numFmtId="37" fontId="3" fillId="0" borderId="14" xfId="0" applyNumberFormat="1" applyFont="1" applyBorder="1" applyAlignment="1">
      <alignment vertical="center"/>
    </xf>
    <xf numFmtId="37" fontId="3" fillId="6" borderId="14" xfId="0" applyNumberFormat="1" applyFont="1" applyFill="1" applyBorder="1" applyAlignment="1">
      <alignment vertical="center"/>
    </xf>
    <xf numFmtId="3" fontId="3" fillId="11" borderId="14" xfId="2" applyNumberFormat="1" applyFont="1" applyFill="1" applyBorder="1" applyAlignment="1">
      <alignment vertical="center" wrapText="1"/>
    </xf>
    <xf numFmtId="37" fontId="3" fillId="4" borderId="33" xfId="0" applyNumberFormat="1" applyFont="1" applyFill="1" applyBorder="1" applyAlignment="1">
      <alignment vertical="center"/>
    </xf>
    <xf numFmtId="3" fontId="3" fillId="0" borderId="15" xfId="0" applyNumberFormat="1" applyFont="1" applyBorder="1" applyAlignment="1">
      <alignment horizontal="center" vertical="center" wrapText="1"/>
    </xf>
    <xf numFmtId="37" fontId="3" fillId="0" borderId="15" xfId="0" applyNumberFormat="1" applyFont="1" applyBorder="1" applyAlignment="1">
      <alignment vertical="center"/>
    </xf>
    <xf numFmtId="37" fontId="3" fillId="6" borderId="15" xfId="0" applyNumberFormat="1" applyFont="1" applyFill="1" applyBorder="1" applyAlignment="1">
      <alignment vertical="center"/>
    </xf>
    <xf numFmtId="9" fontId="3" fillId="0" borderId="15" xfId="2" applyFont="1" applyFill="1" applyBorder="1" applyAlignment="1">
      <alignment horizontal="center" vertical="center" wrapText="1"/>
    </xf>
    <xf numFmtId="9" fontId="3" fillId="0" borderId="15" xfId="2" applyFont="1" applyFill="1" applyBorder="1" applyAlignment="1">
      <alignment vertical="center" wrapText="1"/>
    </xf>
    <xf numFmtId="37" fontId="3" fillId="11" borderId="31" xfId="2" applyNumberFormat="1" applyFont="1" applyFill="1" applyBorder="1" applyAlignment="1">
      <alignment vertical="center" wrapText="1"/>
    </xf>
    <xf numFmtId="3" fontId="3" fillId="8" borderId="31" xfId="2" applyNumberFormat="1" applyFont="1" applyFill="1" applyBorder="1" applyAlignment="1">
      <alignment vertical="center" wrapText="1"/>
    </xf>
    <xf numFmtId="9" fontId="3" fillId="6" borderId="15" xfId="2" applyFont="1" applyFill="1" applyBorder="1" applyAlignment="1">
      <alignment vertical="center" wrapText="1"/>
    </xf>
    <xf numFmtId="3" fontId="3" fillId="7" borderId="15" xfId="2" applyNumberFormat="1" applyFont="1" applyFill="1" applyBorder="1" applyAlignment="1">
      <alignment vertical="center" wrapText="1"/>
    </xf>
    <xf numFmtId="2" fontId="3" fillId="4" borderId="31" xfId="2" applyNumberFormat="1" applyFont="1" applyFill="1" applyBorder="1" applyAlignment="1">
      <alignment vertical="center" wrapText="1"/>
    </xf>
    <xf numFmtId="1" fontId="3" fillId="7" borderId="15" xfId="2" applyNumberFormat="1" applyFont="1" applyFill="1" applyBorder="1" applyAlignment="1">
      <alignment vertical="center" wrapText="1"/>
    </xf>
    <xf numFmtId="3" fontId="3" fillId="8" borderId="15" xfId="2" applyNumberFormat="1" applyFont="1" applyFill="1" applyBorder="1" applyAlignment="1">
      <alignment vertical="center" wrapText="1"/>
    </xf>
    <xf numFmtId="3" fontId="3" fillId="10" borderId="0" xfId="0" applyNumberFormat="1" applyFont="1" applyFill="1" applyAlignment="1">
      <alignment horizontal="left" vertical="center"/>
    </xf>
    <xf numFmtId="3" fontId="3" fillId="10" borderId="5" xfId="0" applyNumberFormat="1" applyFont="1" applyFill="1" applyBorder="1" applyAlignment="1">
      <alignment horizontal="left" vertical="center"/>
    </xf>
    <xf numFmtId="3" fontId="3" fillId="13" borderId="28" xfId="0" applyNumberFormat="1" applyFont="1" applyFill="1" applyBorder="1" applyAlignment="1">
      <alignment vertical="center"/>
    </xf>
    <xf numFmtId="41" fontId="3" fillId="11" borderId="16" xfId="2" applyNumberFormat="1" applyFont="1" applyFill="1" applyBorder="1" applyAlignment="1">
      <alignment vertical="center" wrapText="1"/>
    </xf>
    <xf numFmtId="37" fontId="3" fillId="8" borderId="16" xfId="2" applyNumberFormat="1" applyFont="1" applyFill="1" applyBorder="1" applyAlignment="1">
      <alignment vertical="center" wrapText="1"/>
    </xf>
    <xf numFmtId="3" fontId="7" fillId="14" borderId="8" xfId="0" applyNumberFormat="1" applyFont="1" applyFill="1" applyBorder="1" applyAlignment="1">
      <alignment vertical="center"/>
    </xf>
    <xf numFmtId="3" fontId="7" fillId="14" borderId="20" xfId="0" applyNumberFormat="1" applyFont="1" applyFill="1" applyBorder="1" applyAlignment="1">
      <alignment vertical="center"/>
    </xf>
    <xf numFmtId="3" fontId="3" fillId="0" borderId="16" xfId="0" applyNumberFormat="1" applyFont="1" applyBorder="1" applyAlignment="1">
      <alignment horizontal="left" wrapText="1"/>
    </xf>
    <xf numFmtId="3" fontId="2" fillId="4" borderId="21" xfId="0" applyNumberFormat="1" applyFont="1" applyFill="1" applyBorder="1" applyAlignment="1">
      <alignment horizontal="center" vertical="center" textRotation="90" wrapText="1"/>
    </xf>
    <xf numFmtId="3" fontId="3" fillId="13" borderId="17" xfId="0" applyNumberFormat="1" applyFont="1" applyFill="1" applyBorder="1" applyAlignment="1">
      <alignment vertical="center"/>
    </xf>
    <xf numFmtId="3" fontId="7" fillId="15" borderId="20" xfId="0" applyNumberFormat="1" applyFont="1" applyFill="1" applyBorder="1" applyAlignment="1">
      <alignment vertical="center"/>
    </xf>
    <xf numFmtId="3" fontId="3" fillId="0" borderId="6" xfId="0" applyNumberFormat="1" applyFont="1" applyBorder="1" applyAlignment="1">
      <alignment vertical="center"/>
    </xf>
    <xf numFmtId="3" fontId="3" fillId="0" borderId="28" xfId="0" applyNumberFormat="1" applyFont="1" applyBorder="1" applyAlignment="1">
      <alignment vertical="center"/>
    </xf>
    <xf numFmtId="37" fontId="3" fillId="0" borderId="16" xfId="0" applyNumberFormat="1" applyFont="1" applyBorder="1" applyAlignment="1">
      <alignment vertical="center"/>
    </xf>
    <xf numFmtId="3" fontId="7" fillId="15" borderId="1" xfId="0" applyNumberFormat="1" applyFont="1" applyFill="1" applyBorder="1" applyAlignment="1">
      <alignment vertical="center"/>
    </xf>
    <xf numFmtId="3" fontId="3" fillId="0" borderId="40" xfId="0" applyNumberFormat="1" applyFont="1" applyBorder="1" applyAlignment="1">
      <alignment vertical="center"/>
    </xf>
    <xf numFmtId="3" fontId="3" fillId="13" borderId="30" xfId="0" applyNumberFormat="1" applyFont="1" applyFill="1" applyBorder="1" applyAlignment="1">
      <alignment vertical="center"/>
    </xf>
    <xf numFmtId="37" fontId="7" fillId="15" borderId="37" xfId="0" applyNumberFormat="1" applyFont="1" applyFill="1" applyBorder="1" applyAlignment="1">
      <alignment vertical="center"/>
    </xf>
    <xf numFmtId="9" fontId="3" fillId="0" borderId="21" xfId="2" applyFont="1" applyFill="1" applyBorder="1" applyAlignment="1">
      <alignment horizontal="center" vertical="center" wrapText="1"/>
    </xf>
    <xf numFmtId="9" fontId="3" fillId="0" borderId="21" xfId="2" applyFont="1" applyFill="1" applyBorder="1" applyAlignment="1">
      <alignment vertical="center" wrapText="1"/>
    </xf>
    <xf numFmtId="1" fontId="3" fillId="11" borderId="61" xfId="2" applyNumberFormat="1" applyFont="1" applyFill="1" applyBorder="1" applyAlignment="1">
      <alignment vertical="center" wrapText="1"/>
    </xf>
    <xf numFmtId="1" fontId="3" fillId="8" borderId="61" xfId="2" applyNumberFormat="1" applyFont="1" applyFill="1" applyBorder="1" applyAlignment="1">
      <alignment vertical="center" wrapText="1"/>
    </xf>
    <xf numFmtId="9" fontId="3" fillId="6" borderId="21" xfId="2" applyFont="1" applyFill="1" applyBorder="1" applyAlignment="1">
      <alignment vertical="center" wrapText="1"/>
    </xf>
    <xf numFmtId="1" fontId="3" fillId="7" borderId="21" xfId="2" applyNumberFormat="1" applyFont="1" applyFill="1" applyBorder="1" applyAlignment="1">
      <alignment vertical="center" wrapText="1"/>
    </xf>
    <xf numFmtId="1" fontId="3" fillId="4" borderId="21" xfId="2" applyNumberFormat="1" applyFont="1" applyFill="1" applyBorder="1" applyAlignment="1">
      <alignment vertical="center" wrapText="1"/>
    </xf>
    <xf numFmtId="37" fontId="3" fillId="7" borderId="21" xfId="2" applyNumberFormat="1" applyFont="1" applyFill="1" applyBorder="1" applyAlignment="1">
      <alignment vertical="center" wrapText="1"/>
    </xf>
    <xf numFmtId="37" fontId="3" fillId="8" borderId="21" xfId="2" applyNumberFormat="1" applyFont="1" applyFill="1" applyBorder="1" applyAlignment="1">
      <alignment vertical="center" wrapText="1"/>
    </xf>
    <xf numFmtId="9" fontId="3" fillId="0" borderId="62" xfId="2" applyFont="1" applyFill="1" applyBorder="1" applyAlignment="1">
      <alignment vertical="center" wrapText="1"/>
    </xf>
    <xf numFmtId="9" fontId="12" fillId="0" borderId="63" xfId="2" applyFont="1" applyBorder="1" applyAlignment="1">
      <alignment vertical="center" wrapText="1"/>
    </xf>
    <xf numFmtId="1" fontId="3" fillId="11" borderId="12" xfId="2" applyNumberFormat="1" applyFont="1" applyFill="1" applyBorder="1" applyAlignment="1">
      <alignment vertical="center" wrapText="1"/>
    </xf>
    <xf numFmtId="9" fontId="12" fillId="0" borderId="12" xfId="2" applyFont="1" applyBorder="1" applyAlignment="1">
      <alignment vertical="center" wrapText="1"/>
    </xf>
    <xf numFmtId="0" fontId="22" fillId="13" borderId="60" xfId="0" applyFont="1" applyFill="1" applyBorder="1" applyAlignment="1">
      <alignment horizontal="left" vertical="top" wrapText="1"/>
    </xf>
    <xf numFmtId="3" fontId="2" fillId="10" borderId="1" xfId="0" applyNumberFormat="1" applyFont="1" applyFill="1" applyBorder="1" applyAlignment="1">
      <alignment horizontal="center" vertical="center"/>
    </xf>
    <xf numFmtId="3" fontId="2" fillId="10" borderId="4" xfId="0" applyNumberFormat="1" applyFont="1" applyFill="1" applyBorder="1" applyAlignment="1">
      <alignment horizontal="center" vertical="center"/>
    </xf>
    <xf numFmtId="3" fontId="2" fillId="4" borderId="15" xfId="0" applyNumberFormat="1" applyFont="1" applyFill="1" applyBorder="1" applyAlignment="1">
      <alignment horizontal="center" vertical="center"/>
    </xf>
    <xf numFmtId="3" fontId="3" fillId="0" borderId="19" xfId="0" applyNumberFormat="1" applyFont="1" applyBorder="1" applyAlignment="1">
      <alignment vertical="center"/>
    </xf>
    <xf numFmtId="37" fontId="7" fillId="9" borderId="3" xfId="0" applyNumberFormat="1" applyFont="1" applyFill="1" applyBorder="1" applyAlignment="1">
      <alignment vertical="center"/>
    </xf>
    <xf numFmtId="37" fontId="7" fillId="9" borderId="30" xfId="0" applyNumberFormat="1" applyFont="1" applyFill="1" applyBorder="1" applyAlignment="1">
      <alignment vertical="center"/>
    </xf>
    <xf numFmtId="37" fontId="7" fillId="9" borderId="12" xfId="0" applyNumberFormat="1" applyFont="1" applyFill="1" applyBorder="1" applyAlignment="1">
      <alignment vertical="center"/>
    </xf>
    <xf numFmtId="3" fontId="2" fillId="4" borderId="27" xfId="0" applyNumberFormat="1" applyFont="1" applyFill="1" applyBorder="1" applyAlignment="1">
      <alignment horizontal="center" vertical="center" textRotation="90" wrapText="1"/>
    </xf>
    <xf numFmtId="3" fontId="2" fillId="4" borderId="15" xfId="0" applyNumberFormat="1" applyFont="1" applyFill="1" applyBorder="1" applyAlignment="1">
      <alignment horizontal="center" vertical="center" textRotation="90" wrapText="1"/>
    </xf>
    <xf numFmtId="3" fontId="2" fillId="4" borderId="36" xfId="0" applyNumberFormat="1" applyFont="1" applyFill="1" applyBorder="1" applyAlignment="1">
      <alignment horizontal="center" vertical="center" textRotation="90" wrapText="1"/>
    </xf>
    <xf numFmtId="3" fontId="2" fillId="4" borderId="31" xfId="0" applyNumberFormat="1" applyFont="1" applyFill="1" applyBorder="1" applyAlignment="1">
      <alignment horizontal="center" vertical="center" textRotation="90" wrapText="1"/>
    </xf>
    <xf numFmtId="3" fontId="2" fillId="4" borderId="61" xfId="0" applyNumberFormat="1" applyFont="1" applyFill="1" applyBorder="1" applyAlignment="1">
      <alignment horizontal="center" vertical="center" textRotation="90" wrapText="1"/>
    </xf>
    <xf numFmtId="3" fontId="2" fillId="5" borderId="27" xfId="0" applyNumberFormat="1" applyFont="1" applyFill="1" applyBorder="1" applyAlignment="1">
      <alignment horizontal="center" vertical="center" textRotation="90"/>
    </xf>
    <xf numFmtId="3" fontId="2" fillId="5" borderId="21" xfId="0" applyNumberFormat="1" applyFont="1" applyFill="1" applyBorder="1" applyAlignment="1">
      <alignment horizontal="center" vertical="center" textRotation="90"/>
    </xf>
    <xf numFmtId="3" fontId="2" fillId="5" borderId="27" xfId="0" applyNumberFormat="1" applyFont="1" applyFill="1" applyBorder="1" applyAlignment="1">
      <alignment horizontal="center" vertical="center" textRotation="90" readingOrder="1"/>
    </xf>
    <xf numFmtId="3" fontId="2" fillId="5" borderId="15" xfId="0" applyNumberFormat="1" applyFont="1" applyFill="1" applyBorder="1" applyAlignment="1">
      <alignment horizontal="center" vertical="center" textRotation="90" readingOrder="1"/>
    </xf>
    <xf numFmtId="3" fontId="2" fillId="5" borderId="21" xfId="0" applyNumberFormat="1" applyFont="1" applyFill="1" applyBorder="1" applyAlignment="1">
      <alignment horizontal="center" vertical="center" textRotation="90" readingOrder="1"/>
    </xf>
    <xf numFmtId="3" fontId="2" fillId="4" borderId="27" xfId="0" applyNumberFormat="1" applyFont="1" applyFill="1" applyBorder="1" applyAlignment="1">
      <alignment horizontal="center" vertical="center" textRotation="90"/>
    </xf>
    <xf numFmtId="3" fontId="2" fillId="4" borderId="21" xfId="0" applyNumberFormat="1" applyFont="1" applyFill="1" applyBorder="1" applyAlignment="1">
      <alignment horizontal="center" vertical="center" textRotation="90"/>
    </xf>
    <xf numFmtId="3" fontId="2" fillId="4" borderId="15" xfId="0" applyNumberFormat="1" applyFont="1" applyFill="1" applyBorder="1" applyAlignment="1">
      <alignment horizontal="center" vertical="center" textRotation="90"/>
    </xf>
    <xf numFmtId="3" fontId="2" fillId="8" borderId="27" xfId="0" applyNumberFormat="1" applyFont="1" applyFill="1" applyBorder="1" applyAlignment="1">
      <alignment horizontal="center" vertical="center"/>
    </xf>
    <xf numFmtId="3" fontId="2" fillId="8" borderId="21" xfId="0" applyNumberFormat="1" applyFont="1" applyFill="1" applyBorder="1" applyAlignment="1">
      <alignment horizontal="center" vertical="center"/>
    </xf>
    <xf numFmtId="3" fontId="3" fillId="0" borderId="17" xfId="2" applyNumberFormat="1" applyFont="1" applyBorder="1" applyAlignment="1">
      <alignment horizontal="center" vertical="center" wrapText="1"/>
    </xf>
    <xf numFmtId="3" fontId="3" fillId="0" borderId="19" xfId="2" applyNumberFormat="1" applyFont="1" applyBorder="1" applyAlignment="1">
      <alignment horizontal="center" vertical="center" wrapText="1"/>
    </xf>
    <xf numFmtId="3" fontId="4" fillId="2" borderId="0" xfId="0" applyNumberFormat="1" applyFont="1" applyFill="1" applyAlignment="1">
      <alignment horizontal="center" vertical="center"/>
    </xf>
    <xf numFmtId="3" fontId="4" fillId="2" borderId="6"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textRotation="90"/>
    </xf>
    <xf numFmtId="3" fontId="2" fillId="5" borderId="15" xfId="0" applyNumberFormat="1" applyFont="1" applyFill="1" applyBorder="1" applyAlignment="1">
      <alignment horizontal="center" vertical="center" textRotation="90"/>
    </xf>
    <xf numFmtId="3" fontId="3" fillId="0" borderId="12" xfId="0" applyNumberFormat="1" applyFont="1" applyBorder="1" applyAlignment="1">
      <alignment horizontal="center" vertical="center" wrapText="1"/>
    </xf>
    <xf numFmtId="3" fontId="3" fillId="0" borderId="11" xfId="0" applyNumberFormat="1" applyFont="1" applyBorder="1" applyAlignment="1">
      <alignment horizontal="center" vertical="center" wrapText="1"/>
    </xf>
    <xf numFmtId="3" fontId="20" fillId="2" borderId="0" xfId="0" applyNumberFormat="1" applyFont="1" applyFill="1" applyAlignment="1">
      <alignment horizontal="center" vertical="center"/>
    </xf>
    <xf numFmtId="3" fontId="3" fillId="0" borderId="12" xfId="0" applyNumberFormat="1" applyFont="1" applyBorder="1" applyAlignment="1">
      <alignment horizontal="center" vertical="center"/>
    </xf>
    <xf numFmtId="3" fontId="3" fillId="0" borderId="17" xfId="0" applyNumberFormat="1" applyFont="1" applyBorder="1" applyAlignment="1">
      <alignment horizontal="left" vertical="center" wrapText="1"/>
    </xf>
    <xf numFmtId="3" fontId="3" fillId="0" borderId="19" xfId="0" applyNumberFormat="1" applyFont="1" applyBorder="1" applyAlignment="1">
      <alignment horizontal="left" vertical="center" wrapText="1"/>
    </xf>
    <xf numFmtId="3" fontId="3" fillId="0" borderId="23" xfId="0" applyNumberFormat="1" applyFont="1" applyBorder="1" applyAlignment="1">
      <alignment horizontal="left" vertical="center" wrapText="1"/>
    </xf>
    <xf numFmtId="37" fontId="4" fillId="2" borderId="35" xfId="0" applyNumberFormat="1" applyFont="1" applyFill="1" applyBorder="1" applyAlignment="1">
      <alignment horizontal="center" vertical="center"/>
    </xf>
    <xf numFmtId="37" fontId="4" fillId="2" borderId="22" xfId="0" applyNumberFormat="1" applyFont="1" applyFill="1" applyBorder="1" applyAlignment="1">
      <alignment horizontal="center" vertical="center"/>
    </xf>
    <xf numFmtId="3" fontId="4" fillId="2" borderId="1" xfId="0" applyNumberFormat="1" applyFont="1" applyFill="1" applyBorder="1" applyAlignment="1">
      <alignment horizontal="left" vertical="center" wrapText="1"/>
    </xf>
    <xf numFmtId="3" fontId="4" fillId="2" borderId="10" xfId="0" applyNumberFormat="1" applyFont="1" applyFill="1" applyBorder="1" applyAlignment="1">
      <alignment horizontal="left" vertical="center" wrapText="1"/>
    </xf>
    <xf numFmtId="37" fontId="4" fillId="2" borderId="59" xfId="0" applyNumberFormat="1" applyFont="1" applyFill="1" applyBorder="1" applyAlignment="1">
      <alignment horizontal="center" vertical="center"/>
    </xf>
    <xf numFmtId="3" fontId="3" fillId="0" borderId="13" xfId="0" applyNumberFormat="1" applyFont="1" applyBorder="1" applyAlignment="1">
      <alignment horizontal="center" vertical="center" wrapText="1"/>
    </xf>
  </cellXfs>
  <cellStyles count="7">
    <cellStyle name="Comma" xfId="1" builtinId="3"/>
    <cellStyle name="Comma 15" xfId="4" xr:uid="{98B5B76E-2355-48AE-927F-D16F8BA8A162}"/>
    <cellStyle name="Comma 2" xfId="6" xr:uid="{E51EFFC6-C8D4-40ED-AF97-B80367D34422}"/>
    <cellStyle name="Comma 3" xfId="3" xr:uid="{2EA48ED9-C769-49E4-98C2-23E0DC6D5FB7}"/>
    <cellStyle name="Normal" xfId="0" builtinId="0"/>
    <cellStyle name="Normal 3" xfId="5" xr:uid="{67E9FA82-3164-42D9-B1A9-CD06E3D2E01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calcChain" Target="calcChain.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customXml" Target="../customXml/item2.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theme" Target="theme/theme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styles" Target="styles.xml"/><Relationship Id="rId98"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1.1.197\GOC-Reports\SAP\BW\FMCG\KPIs-%20Dankotuwa\PC%20&amp;%20Soap%20Plant%20KP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orary%20Internet%20Files/OLK5143/DATA/TIO/JUNE_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C-Reports/SAP/BW/FMCG/KPIs-%20Dankotuwa/PC%20&amp;%20Soap%20Plant%20KP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C-Reports/work/BUDGET/Bgt%2006-07/Bgt%2006-07-3rd%20draft/HC%20Final/HHPL%20-%20Bgt%2006-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OCUME~1\ADMINI~1\LOCALS~1\Temp\TRILSE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MP/scorecard/revamped/Sin_BSC_Apr04_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ACO-04-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dysrv01\fin\Ositha\Stocks98\Stocks98\Ac9805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DYSRV01\FIN\Ac9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ldissanayake/Desktop/P&amp;G%20Ac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JvfrBody/JVReporter/BL01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C-Reports/SAP/BW/Healthcare/HPPL%20Price%20Variance%20for%20Vol%20Analysis-Dec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TIO\JUNE_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tationer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TEMP/scorecard/revamped/Sin_BSC_May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dysrv01\fin\STOCK96\RAWMA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ctual%20Data/Orders-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DOWN%20LOAD\Closing%20Stk%20Corv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ATA/TIO/JUNE_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SHANTHA\TRI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DATA\TIO\JUNE_9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wn%20Load/QUE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Documents%20and%20Settings/Ama.HEMAS/Local%20Settings/Temporary%20Internet%20Files/Content.Outlook/U8WCRHC4/Documents%20and%20Settings/vathsala.HEMAS/Desktop/Official%20Miscellaneous/Power/Power%20Performance%20Tracking.xls?620C23FB" TargetMode="External"/><Relationship Id="rId1" Type="http://schemas.openxmlformats.org/officeDocument/2006/relationships/externalLinkPath" Target="file:///\\620C23FB\Power%20Performance%20Tracki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AS/05.May/MAS-FORMATS-May-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TEMP/scorecard/revamped/Consolidated%20Country%20Scorecard%20TRI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DYSRV01\FIN\DATA\TIO\JUNE_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Down%20Load\QUEARY.xls"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https://mclarensltd-my.sharepoint.com/personal/amaya_mclarens_lk/Documents/Documents/Amaya%20-%20Corporate%20Planning/QFR,%20Group%20PBT,%20OH%20analysis/11.%20Nov%202022/Group%20PBT%20-%20Nov%202022.xlsx" TargetMode="External"/><Relationship Id="rId2"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9D631842" TargetMode="External"/><Relationship Id="rId1" Type="http://schemas.openxmlformats.org/officeDocument/2006/relationships/externalLinkPath" Target="file:///\\9D631842\Group%20PBT%20-%20Nov%2020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Ac99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F91EBB5\Nimex%20Performance%20Tracking%20-%20Investment%20EV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YPAPPS/MAST2003/Inbox/IFI/2003/Feb%202003/MAS-FORMATS-Feb-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1.1.197\ama\SAP\BW\Transportation\Team%20Reports\2009%5e10\Team%20Performance%20-%20Mar%202010.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SAP/BW/Transportation/Team%20Reports/2010%5e11/Team%20Performance%20-%20Nov%2020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WN%20LOAD/TENDER%20DOW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ar%202002/Seasonalisation/Templates%20send%20out/2002PB_Seasonalization_Template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gional%20Lubes/Performance%20Analysis/2001%20P&amp;B/4th%20Round%20Topside/Korea(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Subash%2002-03\Subash%2002-03%20Tad\Subash\Tour%20Ad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SHANTHA\TRI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Chamindhri/My%20Documents/MHL/Strategic%20Planning%20Process/Quarterly%20Management%20Consolidations/Quarter%20Ended%2031.12.2015/Final/Copy%20of_Consolidation%20for%20Quarter%20Ended%2031%2012%202015_Template%20v5.xlsx?5B6E7AB3" TargetMode="External"/><Relationship Id="rId1" Type="http://schemas.openxmlformats.org/officeDocument/2006/relationships/externalLinkPath" Target="file:///\\5B6E7AB3\Copy%20of_Consolidation%20for%20Quarter%20Ended%2031%2012%202015_Template%20v5.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file:///D:\Sherali_Data\OneDrive%20-%20McLarens%20Holdings%20Limited\Documents\QFR-%20March%202024\March\IOSM\IOSM%20Management%20Accounts%20-%20March%202025.xlsb" TargetMode="External"/><Relationship Id="rId1" Type="http://schemas.openxmlformats.org/officeDocument/2006/relationships/externalLinkPath" Target="file:///D:\Sherali_Data\OneDrive%20-%20McLarens%20Holdings%20Limited\Documents\QFR-%20March%202024\March\IOSM\IOSM%20Management%20Accounts%20-%20March%202025.xlsb"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file:///D:\Sherali_Data\OneDrive%20-%20McLarens%20Holdings%20Limited\Documents\QFR-%20March%202024\March\WOSS\WOSS%20Consolidated%20Management%20Accounts%20-March'25.xlsx" TargetMode="External"/><Relationship Id="rId1" Type="http://schemas.openxmlformats.org/officeDocument/2006/relationships/externalLinkPath" Target="file:///D:\Sherali_Data\OneDrive%20-%20McLarens%20Holdings%20Limited\Documents\QFR-%20March%202024\March\WOSS\WOSS%20Consolidated%20Management%20Accounts%20-March'25.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Copy%20of%20Sector%20Summary%20-%20April%202025.xlsx" TargetMode="External"/><Relationship Id="rId1" Type="http://schemas.openxmlformats.org/officeDocument/2006/relationships/externalLinkPath" Target="/personal/kalpani_mclarens_lk/Documents/Desktop/Copy%20of%20Sector%20Summary%20-%20April%202025.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ontly%20sector%20summaries/April%202025/GAC%20Cluster%201%20April%202025%20-%20Financial%20performance%20summary.xlsx" TargetMode="External"/><Relationship Id="rId1" Type="http://schemas.openxmlformats.org/officeDocument/2006/relationships/externalLinkPath" Target="April%202025/GAC%20Cluster%201%20April%202025%20-%20Financial%20performance%20summary.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20Spectra.xlsx" TargetMode="External"/><Relationship Id="rId1" Type="http://schemas.openxmlformats.org/officeDocument/2006/relationships/externalLinkPath" Target="/personal/kalpani_mclarens_lk/Documents/Desktop/Sector%20Summary%20-%20Spectra.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Financial%20Summary-%20Property%20Cluster-%20Apr%2025.xlsx" TargetMode="External"/><Relationship Id="rId1" Type="http://schemas.openxmlformats.org/officeDocument/2006/relationships/externalLinkPath" Target="/personal/kalpani_mclarens_lk/Documents/Desktop/Financial%20Summary-%20Property%20Cluster-%20Apr%2025.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Lubricant%20Cluster%201%20April%202025%20-%20Financial%20performance%20summary.xlsx" TargetMode="External"/><Relationship Id="rId1" Type="http://schemas.openxmlformats.org/officeDocument/2006/relationships/externalLinkPath" Target="/personal/kalpani_mclarens_lk/Documents/Desktop/Lubricant%20Cluster%201%20April%202025%20-%20Financial%20performance%20summary.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Lubricant%20Cluster%202%20Apr%202025%20-%20Financial%20performance%20summary.xlsx" TargetMode="External"/><Relationship Id="rId1" Type="http://schemas.openxmlformats.org/officeDocument/2006/relationships/externalLinkPath" Target="/personal/kalpani_mclarens_lk/Documents/Desktop/Lubricant%20Cluster%202%20Apr%202025%20-%20Financial%20performance%20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35268.702116898145</v>
          </cell>
          <cell r="DP4" t="str">
            <v>Run Date:</v>
          </cell>
          <cell r="DQ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7.0476739715494041</v>
          </cell>
          <cell r="X16">
            <v>694.96193771626292</v>
          </cell>
          <cell r="Y16">
            <v>17.159554017685505</v>
          </cell>
          <cell r="Z16">
            <v>41.366782006920417</v>
          </cell>
          <cell r="AC16">
            <v>18.078815840061516</v>
          </cell>
          <cell r="AD16">
            <v>18.385236447520185</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201.74813386055544</v>
          </cell>
          <cell r="X47">
            <v>2420.977606326665</v>
          </cell>
          <cell r="Y47">
            <v>605.24440158166624</v>
          </cell>
          <cell r="Z47">
            <v>403.49626772111088</v>
          </cell>
          <cell r="AC47">
            <v>201.74813386055544</v>
          </cell>
          <cell r="AD47">
            <v>201.74813386055544</v>
          </cell>
          <cell r="AE47">
            <v>-4034.9626772111087</v>
          </cell>
          <cell r="DI47">
            <v>0</v>
          </cell>
          <cell r="DJ47">
            <v>0</v>
          </cell>
          <cell r="DK47">
            <v>0</v>
          </cell>
          <cell r="DL47">
            <v>0</v>
          </cell>
          <cell r="DO47">
            <v>0</v>
          </cell>
          <cell r="DP47">
            <v>0</v>
          </cell>
          <cell r="DQ47">
            <v>0</v>
          </cell>
        </row>
        <row r="48">
          <cell r="W48">
            <v>713.54150038976718</v>
          </cell>
          <cell r="Y48">
            <v>-1427.0830007795344</v>
          </cell>
          <cell r="AC48">
            <v>713.54150038976718</v>
          </cell>
          <cell r="DI48">
            <v>0</v>
          </cell>
          <cell r="DK48">
            <v>0</v>
          </cell>
          <cell r="DO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1288909.6499999999</v>
          </cell>
          <cell r="G9">
            <v>185111.31</v>
          </cell>
          <cell r="H9">
            <v>0</v>
          </cell>
          <cell r="I9">
            <v>5471158.1799999997</v>
          </cell>
        </row>
        <row r="10">
          <cell r="A10" t="str">
            <v>DB006</v>
          </cell>
          <cell r="B10" t="str">
            <v>Vijitha Pharmacy</v>
          </cell>
          <cell r="C10">
            <v>3885886.5999999996</v>
          </cell>
          <cell r="D10">
            <v>592000.68000000005</v>
          </cell>
          <cell r="E10">
            <v>0</v>
          </cell>
          <cell r="F10">
            <v>868352.77</v>
          </cell>
          <cell r="G10">
            <v>0</v>
          </cell>
          <cell r="H10">
            <v>0</v>
          </cell>
          <cell r="I10">
            <v>5346240.0499999989</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9476383.5399999972</v>
          </cell>
          <cell r="D12">
            <v>709335.8</v>
          </cell>
          <cell r="E12">
            <v>0</v>
          </cell>
          <cell r="F12">
            <v>0</v>
          </cell>
          <cell r="G12">
            <v>0</v>
          </cell>
          <cell r="H12">
            <v>0</v>
          </cell>
          <cell r="I12">
            <v>10185719.339999998</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1050483.6000000001</v>
          </cell>
          <cell r="D15">
            <v>0</v>
          </cell>
          <cell r="E15">
            <v>0</v>
          </cell>
          <cell r="F15">
            <v>0</v>
          </cell>
          <cell r="G15">
            <v>0</v>
          </cell>
          <cell r="H15">
            <v>0</v>
          </cell>
          <cell r="I15">
            <v>1050483.6000000001</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4172540.3799999994</v>
          </cell>
          <cell r="D19">
            <v>1177056.5999999999</v>
          </cell>
          <cell r="E19">
            <v>89273.4</v>
          </cell>
          <cell r="F19">
            <v>1466145.42</v>
          </cell>
          <cell r="G19">
            <v>230511.96</v>
          </cell>
          <cell r="H19">
            <v>0</v>
          </cell>
          <cell r="I19">
            <v>7135527.7599999998</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4474314.3599999994</v>
          </cell>
          <cell r="D21">
            <v>142539.48000000001</v>
          </cell>
          <cell r="E21">
            <v>22285.88</v>
          </cell>
          <cell r="F21">
            <v>0</v>
          </cell>
          <cell r="G21">
            <v>549713.01</v>
          </cell>
          <cell r="H21">
            <v>69799.67</v>
          </cell>
          <cell r="I21">
            <v>5258652.3999999994</v>
          </cell>
        </row>
        <row r="22">
          <cell r="A22" t="str">
            <v>DB019</v>
          </cell>
          <cell r="B22" t="str">
            <v>Glenic Distributors,</v>
          </cell>
          <cell r="C22">
            <v>659210.60999999987</v>
          </cell>
          <cell r="D22">
            <v>640579.62</v>
          </cell>
          <cell r="E22">
            <v>0</v>
          </cell>
          <cell r="F22">
            <v>967264.11</v>
          </cell>
          <cell r="G22">
            <v>1449044.81</v>
          </cell>
          <cell r="H22">
            <v>898766.6100000001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1642412.8199999998</v>
          </cell>
          <cell r="D24">
            <v>547146.23999999999</v>
          </cell>
          <cell r="E24">
            <v>0</v>
          </cell>
          <cell r="F24">
            <v>162755.65999999997</v>
          </cell>
          <cell r="G24">
            <v>0</v>
          </cell>
          <cell r="H24">
            <v>0</v>
          </cell>
          <cell r="I24">
            <v>2352314.7199999997</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4464.4000000000015</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-66.809999999999945</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80232.729999999981</v>
          </cell>
          <cell r="I42">
            <v>95126.829999999987</v>
          </cell>
        </row>
        <row r="43">
          <cell r="A43" t="str">
            <v>DI003</v>
          </cell>
          <cell r="B43" t="str">
            <v>Harcourts (Pvt) Ltd</v>
          </cell>
          <cell r="C43">
            <v>497.40999999999997</v>
          </cell>
          <cell r="D43">
            <v>5061.6000000000004</v>
          </cell>
          <cell r="E43">
            <v>0</v>
          </cell>
          <cell r="F43">
            <v>0</v>
          </cell>
          <cell r="G43">
            <v>0</v>
          </cell>
          <cell r="H43">
            <v>0</v>
          </cell>
          <cell r="I43">
            <v>5559.01</v>
          </cell>
        </row>
        <row r="44">
          <cell r="A44" t="str">
            <v>DI005</v>
          </cell>
          <cell r="B44" t="str">
            <v>Medi Plus (Pvt) Ltd.</v>
          </cell>
          <cell r="C44">
            <v>45156.600000000006</v>
          </cell>
          <cell r="D44">
            <v>12159</v>
          </cell>
          <cell r="E44">
            <v>0</v>
          </cell>
          <cell r="F44">
            <v>0</v>
          </cell>
          <cell r="G44">
            <v>0</v>
          </cell>
          <cell r="H44">
            <v>-897.58</v>
          </cell>
          <cell r="I44">
            <v>56418.020000000004</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2257.4400000000005</v>
          </cell>
          <cell r="D47">
            <v>0</v>
          </cell>
          <cell r="E47">
            <v>0</v>
          </cell>
          <cell r="F47">
            <v>0</v>
          </cell>
          <cell r="G47">
            <v>351</v>
          </cell>
          <cell r="H47">
            <v>-201.79</v>
          </cell>
          <cell r="I47">
            <v>2406.6500000000005</v>
          </cell>
        </row>
        <row r="48">
          <cell r="A48" t="str">
            <v>DI009</v>
          </cell>
          <cell r="B48" t="str">
            <v>Cargills (Ceylon) Ltd.</v>
          </cell>
          <cell r="C48">
            <v>0</v>
          </cell>
          <cell r="D48">
            <v>136029.6</v>
          </cell>
          <cell r="E48">
            <v>0</v>
          </cell>
          <cell r="F48">
            <v>0</v>
          </cell>
          <cell r="G48">
            <v>646.79999999999995</v>
          </cell>
          <cell r="H48">
            <v>-743.58000000000038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39857.990000000005</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72.630000000000109</v>
          </cell>
          <cell r="D68">
            <v>102.31999999999991</v>
          </cell>
          <cell r="E68">
            <v>2403</v>
          </cell>
          <cell r="F68">
            <v>0</v>
          </cell>
          <cell r="G68">
            <v>0</v>
          </cell>
          <cell r="H68">
            <v>4271.3999999999996</v>
          </cell>
          <cell r="I68">
            <v>6849.3499999999995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73389.600000000006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44892781.310000002</v>
          </cell>
          <cell r="D91">
            <v>4735089.1399999997</v>
          </cell>
          <cell r="E91">
            <v>442822.1</v>
          </cell>
          <cell r="F91">
            <v>5839734.3200000003</v>
          </cell>
          <cell r="G91">
            <v>3550791.8599999994</v>
          </cell>
          <cell r="H91">
            <v>1068537.23</v>
          </cell>
          <cell r="I91">
            <v>60529755.959999979</v>
          </cell>
        </row>
        <row r="93">
          <cell r="F93">
            <v>10459063.41</v>
          </cell>
        </row>
        <row r="94">
          <cell r="I94">
            <v>60529755.960000001</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107.79037000000001</v>
          </cell>
          <cell r="C3">
            <v>105.86700000000002</v>
          </cell>
          <cell r="D3">
            <v>-0.82880126144281618</v>
          </cell>
          <cell r="E3">
            <v>-30.418287674164418</v>
          </cell>
        </row>
        <row r="4">
          <cell r="A4" t="str">
            <v>Advantec 40</v>
          </cell>
          <cell r="B4">
            <v>-110.61586999999999</v>
          </cell>
          <cell r="C4">
            <v>172.23839999999998</v>
          </cell>
          <cell r="D4">
            <v>-75.287977433014191</v>
          </cell>
          <cell r="E4">
            <v>5.6839956842952155</v>
          </cell>
        </row>
        <row r="5">
          <cell r="A5" t="str">
            <v>Aspirin - 100</v>
          </cell>
          <cell r="B5">
            <v>0</v>
          </cell>
          <cell r="C5">
            <v>0</v>
          </cell>
          <cell r="D5">
            <v>0</v>
          </cell>
          <cell r="E5">
            <v>0</v>
          </cell>
        </row>
        <row r="6">
          <cell r="A6" t="str">
            <v>Cephalexin 250mg</v>
          </cell>
          <cell r="B6">
            <v>-22.594180000000037</v>
          </cell>
          <cell r="C6">
            <v>393.14358000000004</v>
          </cell>
          <cell r="D6">
            <v>-196.63896783026223</v>
          </cell>
          <cell r="E6">
            <v>428.34062668455954</v>
          </cell>
        </row>
        <row r="7">
          <cell r="A7" t="str">
            <v>Cephalexin 500mg</v>
          </cell>
          <cell r="B7">
            <v>1417.346</v>
          </cell>
          <cell r="C7">
            <v>1927.0342500000002</v>
          </cell>
          <cell r="D7">
            <v>207.42528018924355</v>
          </cell>
          <cell r="E7">
            <v>133.9553979285559</v>
          </cell>
        </row>
        <row r="8">
          <cell r="A8" t="str">
            <v>Cough Syrup</v>
          </cell>
          <cell r="B8">
            <v>1910.6859499999989</v>
          </cell>
          <cell r="C8">
            <v>2616.9519600000003</v>
          </cell>
          <cell r="D8">
            <v>419.26103941282395</v>
          </cell>
          <cell r="E8">
            <v>652.00955538831647</v>
          </cell>
        </row>
        <row r="9">
          <cell r="A9" t="str">
            <v>Decacef 250mg</v>
          </cell>
          <cell r="B9">
            <v>2305.1350600000001</v>
          </cell>
          <cell r="C9">
            <v>4017.1372799999999</v>
          </cell>
          <cell r="D9">
            <v>833.74174512823822</v>
          </cell>
          <cell r="E9">
            <v>2439.3871633800754</v>
          </cell>
        </row>
        <row r="10">
          <cell r="A10" t="str">
            <v>Decacef 500mg</v>
          </cell>
          <cell r="B10">
            <v>1795.0669999999989</v>
          </cell>
          <cell r="C10">
            <v>3950.2560000000003</v>
          </cell>
          <cell r="D10">
            <v>715.41519037181206</v>
          </cell>
          <cell r="E10">
            <v>1914.2322158290058</v>
          </cell>
        </row>
        <row r="11">
          <cell r="A11" t="str">
            <v>Decacef Suspension</v>
          </cell>
          <cell r="B11">
            <v>2358.8580899999979</v>
          </cell>
          <cell r="C11">
            <v>3577.0732800000001</v>
          </cell>
          <cell r="D11">
            <v>1316.8599365934413</v>
          </cell>
          <cell r="E11">
            <v>2177.62381813408</v>
          </cell>
        </row>
        <row r="12">
          <cell r="A12" t="str">
            <v>Decalox 250mg</v>
          </cell>
          <cell r="B12">
            <v>1733.3139399999989</v>
          </cell>
          <cell r="C12">
            <v>1614.5917599999998</v>
          </cell>
          <cell r="D12">
            <v>701.19561790521425</v>
          </cell>
          <cell r="E12">
            <v>723.37298650068772</v>
          </cell>
        </row>
        <row r="13">
          <cell r="A13" t="str">
            <v>Decalox 500mg</v>
          </cell>
          <cell r="B13">
            <v>5322.6220599999997</v>
          </cell>
          <cell r="C13">
            <v>5671.7366399999992</v>
          </cell>
          <cell r="D13">
            <v>3483.3018257678596</v>
          </cell>
          <cell r="E13">
            <v>3886.8100120784025</v>
          </cell>
        </row>
        <row r="14">
          <cell r="A14" t="str">
            <v>Decalox Suspension</v>
          </cell>
          <cell r="B14">
            <v>2577.5661100000002</v>
          </cell>
          <cell r="C14">
            <v>2636.0546400000003</v>
          </cell>
          <cell r="D14">
            <v>1228.9447653038499</v>
          </cell>
          <cell r="E14">
            <v>1307.8334099166073</v>
          </cell>
        </row>
        <row r="15">
          <cell r="A15" t="str">
            <v>Decamox 250mg</v>
          </cell>
          <cell r="B15">
            <v>2343.872229999999</v>
          </cell>
          <cell r="C15">
            <v>4314.4128799999999</v>
          </cell>
          <cell r="D15">
            <v>1044.1287584262993</v>
          </cell>
          <cell r="E15">
            <v>2588.9921073419455</v>
          </cell>
        </row>
        <row r="16">
          <cell r="A16" t="str">
            <v>Decamox 500mg</v>
          </cell>
          <cell r="B16">
            <v>3433.7957200000001</v>
          </cell>
          <cell r="C16">
            <v>5203.0954000000002</v>
          </cell>
          <cell r="D16">
            <v>1972.0733089320918</v>
          </cell>
          <cell r="E16">
            <v>3391.292018438116</v>
          </cell>
        </row>
        <row r="17">
          <cell r="A17" t="str">
            <v>Decamox Suspension</v>
          </cell>
          <cell r="B17">
            <v>2200.0278199999998</v>
          </cell>
          <cell r="C17">
            <v>3950.8019699999995</v>
          </cell>
          <cell r="D17">
            <v>1029.7056878141748</v>
          </cell>
          <cell r="E17">
            <v>1823.9298232020938</v>
          </cell>
        </row>
        <row r="18">
          <cell r="A18" t="str">
            <v>Decamycin 250mg</v>
          </cell>
          <cell r="B18">
            <v>806.14655999999991</v>
          </cell>
          <cell r="C18">
            <v>1715.1081600000002</v>
          </cell>
          <cell r="D18">
            <v>269.07234770707555</v>
          </cell>
          <cell r="E18">
            <v>552.39915714476649</v>
          </cell>
        </row>
        <row r="19">
          <cell r="A19" t="str">
            <v>Decamycin 500mg</v>
          </cell>
          <cell r="B19">
            <v>592.1851999999999</v>
          </cell>
          <cell r="C19">
            <v>1592.9135999999999</v>
          </cell>
          <cell r="D19">
            <v>105.36211787008756</v>
          </cell>
          <cell r="E19">
            <v>364.77867976793794</v>
          </cell>
        </row>
        <row r="20">
          <cell r="A20" t="str">
            <v>Decamycin Suspension</v>
          </cell>
          <cell r="B20">
            <v>2192.2288299999991</v>
          </cell>
          <cell r="C20">
            <v>3558.8207999999995</v>
          </cell>
          <cell r="D20">
            <v>988.16358448251003</v>
          </cell>
          <cell r="E20">
            <v>1757.2515999928512</v>
          </cell>
        </row>
        <row r="21">
          <cell r="A21" t="str">
            <v>Vitral 30's</v>
          </cell>
          <cell r="B21">
            <v>-437.9188079999999</v>
          </cell>
          <cell r="C21">
            <v>475.70713043478264</v>
          </cell>
          <cell r="D21">
            <v>-303.74730390488816</v>
          </cell>
          <cell r="E21">
            <v>122.55841223436693</v>
          </cell>
        </row>
        <row r="22">
          <cell r="A22" t="str">
            <v>Vitral 60's</v>
          </cell>
          <cell r="B22">
            <v>-390.42039249999999</v>
          </cell>
          <cell r="C22">
            <v>939.38086956521738</v>
          </cell>
          <cell r="D22">
            <v>-458.43350178505483</v>
          </cell>
          <cell r="E22">
            <v>220.98684121043476</v>
          </cell>
        </row>
        <row r="23">
          <cell r="A23" t="str">
            <v>Vitral-Syrup</v>
          </cell>
          <cell r="B23">
            <v>28.474000000000004</v>
          </cell>
          <cell r="C23">
            <v>0</v>
          </cell>
          <cell r="D23">
            <v>-22.808377384648434</v>
          </cell>
          <cell r="E23">
            <v>0</v>
          </cell>
        </row>
        <row r="24">
          <cell r="A24" t="str">
            <v>Omepal</v>
          </cell>
          <cell r="B24">
            <v>1448.3242099999979</v>
          </cell>
          <cell r="C24">
            <v>3657.7569599999997</v>
          </cell>
          <cell r="D24">
            <v>818.71700363536263</v>
          </cell>
          <cell r="E24">
            <v>2501.5011548976554</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1618.6200299999991</v>
          </cell>
          <cell r="C28">
            <v>2005.7510804347824</v>
          </cell>
          <cell r="D28">
            <v>366.5351580538516</v>
          </cell>
          <cell r="E28">
            <v>270.6738656064656</v>
          </cell>
        </row>
        <row r="29">
          <cell r="A29" t="str">
            <v>Preglac 300g</v>
          </cell>
          <cell r="B29">
            <v>2954.6719200000002</v>
          </cell>
          <cell r="C29">
            <v>5529.1811830434772</v>
          </cell>
          <cell r="D29">
            <v>985.94409602771179</v>
          </cell>
          <cell r="E29">
            <v>1463.669172020044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2673.8689799999988</v>
          </cell>
          <cell r="C32">
            <v>4723.0720799999999</v>
          </cell>
          <cell r="D32">
            <v>512.36309563781697</v>
          </cell>
          <cell r="E32">
            <v>210.34818857941502</v>
          </cell>
        </row>
        <row r="33">
          <cell r="A33" t="str">
            <v>Tenol 100mg</v>
          </cell>
          <cell r="B33">
            <v>-80.141360000000006</v>
          </cell>
          <cell r="C33">
            <v>45.506880000000002</v>
          </cell>
          <cell r="D33">
            <v>-77.407833956228586</v>
          </cell>
          <cell r="E33">
            <v>9.0831931456487034</v>
          </cell>
        </row>
        <row r="34">
          <cell r="A34" t="str">
            <v>Tenol 50mg</v>
          </cell>
          <cell r="B34">
            <v>-10.485829999999998</v>
          </cell>
          <cell r="C34">
            <v>32.646239999999999</v>
          </cell>
          <cell r="D34">
            <v>-25.557886776026898</v>
          </cell>
          <cell r="E34">
            <v>14.868715082747983</v>
          </cell>
        </row>
        <row r="51">
          <cell r="A51" t="str">
            <v>Total SLR</v>
          </cell>
          <cell r="B51">
            <v>38768.42363949999</v>
          </cell>
          <cell r="C51">
            <v>64426.240023478269</v>
          </cell>
          <cell r="D51">
            <v>15837.499908927897</v>
          </cell>
          <cell r="E51">
            <v>28931.163822514904</v>
          </cell>
        </row>
        <row r="52">
          <cell r="A52" t="str">
            <v>Original File Link</v>
          </cell>
          <cell r="B52">
            <v>38768.423639499997</v>
          </cell>
          <cell r="C52">
            <v>64426.240023478276</v>
          </cell>
          <cell r="D52">
            <v>15837.499908927904</v>
          </cell>
          <cell r="E52">
            <v>28931.163822514911</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s>
    <sheetDataSet>
      <sheetData sheetId="0" refreshError="1"/>
      <sheetData sheetId="1" refreshError="1">
        <row r="17">
          <cell r="B17" t="str">
            <v>117-019</v>
          </cell>
          <cell r="C17">
            <v>708.36820064848041</v>
          </cell>
          <cell r="D17">
            <v>120898</v>
          </cell>
          <cell r="E17">
            <v>85640298.721999988</v>
          </cell>
          <cell r="F17">
            <v>7.0091779847474731</v>
          </cell>
          <cell r="G17">
            <v>847395.6</v>
          </cell>
          <cell r="H17">
            <v>295.75</v>
          </cell>
          <cell r="I17">
            <v>35755583.5</v>
          </cell>
          <cell r="J17">
            <v>25</v>
          </cell>
          <cell r="K17">
            <v>22.5</v>
          </cell>
          <cell r="L17">
            <v>2720205</v>
          </cell>
          <cell r="M17">
            <v>39323184.100000001</v>
          </cell>
          <cell r="N17">
            <v>383.10902266373296</v>
          </cell>
          <cell r="O17">
            <v>46317114.621999986</v>
          </cell>
          <cell r="P17">
            <v>54.083317448893567</v>
          </cell>
        </row>
        <row r="18">
          <cell r="B18" t="str">
            <v>117-386</v>
          </cell>
          <cell r="C18">
            <v>578.47899999999993</v>
          </cell>
          <cell r="D18">
            <v>14515</v>
          </cell>
          <cell r="E18">
            <v>8396622.6849999987</v>
          </cell>
          <cell r="F18">
            <v>6.3435411643127795</v>
          </cell>
          <cell r="G18">
            <v>92076.5</v>
          </cell>
          <cell r="H18">
            <v>232.87897313124353</v>
          </cell>
          <cell r="I18">
            <v>3380238.2949999999</v>
          </cell>
          <cell r="J18">
            <v>26.000000000000007</v>
          </cell>
          <cell r="K18">
            <v>23.400000000000006</v>
          </cell>
          <cell r="L18">
            <v>339651.00000000006</v>
          </cell>
          <cell r="M18">
            <v>3811965.7949999999</v>
          </cell>
          <cell r="N18">
            <v>315.85648570444357</v>
          </cell>
          <cell r="O18">
            <v>4584656.8899999987</v>
          </cell>
          <cell r="P18">
            <v>54.601201721141756</v>
          </cell>
        </row>
        <row r="19">
          <cell r="B19" t="str">
            <v>117-409</v>
          </cell>
          <cell r="C19">
            <v>718.35799999999995</v>
          </cell>
          <cell r="D19">
            <v>341</v>
          </cell>
          <cell r="E19">
            <v>244960.07799999998</v>
          </cell>
          <cell r="F19">
            <v>7.4214076246334306</v>
          </cell>
          <cell r="G19">
            <v>2530.6999999999998</v>
          </cell>
          <cell r="H19">
            <v>313.48635639296185</v>
          </cell>
          <cell r="I19">
            <v>106898.84753</v>
          </cell>
          <cell r="J19">
            <v>25</v>
          </cell>
          <cell r="K19">
            <v>22.5</v>
          </cell>
          <cell r="L19">
            <v>7672.5</v>
          </cell>
          <cell r="M19">
            <v>117102.04753</v>
          </cell>
          <cell r="N19">
            <v>374.95023598240465</v>
          </cell>
          <cell r="O19">
            <v>127858.03046999998</v>
          </cell>
          <cell r="P19">
            <v>52.195456302067313</v>
          </cell>
        </row>
        <row r="20">
          <cell r="B20" t="str">
            <v>117-413</v>
          </cell>
          <cell r="C20">
            <v>616.31899999999996</v>
          </cell>
          <cell r="D20">
            <v>4</v>
          </cell>
          <cell r="E20">
            <v>2465.2759999999998</v>
          </cell>
          <cell r="F20">
            <v>4.7</v>
          </cell>
          <cell r="G20">
            <v>18.8</v>
          </cell>
          <cell r="H20">
            <v>257.16999999999996</v>
          </cell>
          <cell r="I20">
            <v>1028.6799999999998</v>
          </cell>
          <cell r="J20">
            <v>26.199999999999996</v>
          </cell>
          <cell r="K20">
            <v>23.58</v>
          </cell>
          <cell r="L20">
            <v>94.32</v>
          </cell>
          <cell r="M20">
            <v>1141.7999999999997</v>
          </cell>
          <cell r="N20">
            <v>330.86900000000003</v>
          </cell>
          <cell r="O20">
            <v>1323.4760000000001</v>
          </cell>
          <cell r="P20">
            <v>53.684698995163224</v>
          </cell>
        </row>
        <row r="21">
          <cell r="B21" t="str">
            <v>117A386</v>
          </cell>
          <cell r="C21">
            <v>653.21299999999985</v>
          </cell>
          <cell r="D21">
            <v>3176</v>
          </cell>
          <cell r="E21">
            <v>2074604.4879999997</v>
          </cell>
          <cell r="F21">
            <v>6.1426952141057933</v>
          </cell>
          <cell r="G21">
            <v>19509.2</v>
          </cell>
          <cell r="H21">
            <v>275.74213148614615</v>
          </cell>
          <cell r="I21">
            <v>875757.00960000011</v>
          </cell>
          <cell r="J21">
            <v>23</v>
          </cell>
          <cell r="K21">
            <v>20.7</v>
          </cell>
          <cell r="L21">
            <v>65743.199999999997</v>
          </cell>
          <cell r="M21">
            <v>961009.40960000001</v>
          </cell>
          <cell r="N21">
            <v>350.62817329974797</v>
          </cell>
          <cell r="O21">
            <v>1113595.0783999995</v>
          </cell>
          <cell r="P21">
            <v>53.677464058392601</v>
          </cell>
        </row>
        <row r="22">
          <cell r="B22" t="str">
            <v>117A409</v>
          </cell>
          <cell r="C22">
            <v>762.47599999999989</v>
          </cell>
          <cell r="D22">
            <v>652</v>
          </cell>
          <cell r="E22">
            <v>497134.35199999996</v>
          </cell>
          <cell r="F22">
            <v>6.6447852760736188</v>
          </cell>
          <cell r="G22">
            <v>4332.3999999999996</v>
          </cell>
          <cell r="H22">
            <v>322.33068159509202</v>
          </cell>
          <cell r="I22">
            <v>210159.60440000001</v>
          </cell>
          <cell r="J22">
            <v>22</v>
          </cell>
          <cell r="K22">
            <v>19.8</v>
          </cell>
          <cell r="L22">
            <v>12909.6</v>
          </cell>
          <cell r="M22">
            <v>227401.60440000001</v>
          </cell>
          <cell r="N22">
            <v>413.70053312883425</v>
          </cell>
          <cell r="O22">
            <v>269732.74759999994</v>
          </cell>
          <cell r="P22">
            <v>54.257515400987607</v>
          </cell>
        </row>
        <row r="23">
          <cell r="B23" t="str">
            <v>150-096</v>
          </cell>
          <cell r="C23">
            <v>697.81273616431349</v>
          </cell>
          <cell r="D23">
            <v>27411</v>
          </cell>
          <cell r="E23">
            <v>19127744.910999998</v>
          </cell>
          <cell r="F23">
            <v>6.2294954580277997</v>
          </cell>
          <cell r="G23">
            <v>170756.7</v>
          </cell>
          <cell r="H23">
            <v>320.57</v>
          </cell>
          <cell r="I23">
            <v>8787144.2699999996</v>
          </cell>
          <cell r="J23">
            <v>15.21</v>
          </cell>
          <cell r="K23">
            <v>13.689000000000002</v>
          </cell>
          <cell r="L23">
            <v>375229.17900000006</v>
          </cell>
          <cell r="M23">
            <v>9333130.1489999983</v>
          </cell>
          <cell r="N23">
            <v>357.32424070628582</v>
          </cell>
          <cell r="O23">
            <v>9794614.7620000001</v>
          </cell>
          <cell r="P23">
            <v>51.206322583104438</v>
          </cell>
        </row>
        <row r="24">
          <cell r="B24" t="str">
            <v>150-300</v>
          </cell>
          <cell r="C24">
            <v>540.24745289288501</v>
          </cell>
          <cell r="D24">
            <v>10232</v>
          </cell>
          <cell r="E24">
            <v>5527811.9379999992</v>
          </cell>
          <cell r="F24">
            <v>6.1113565285379208</v>
          </cell>
          <cell r="G24">
            <v>62531.4</v>
          </cell>
          <cell r="H24">
            <v>223.03612251759185</v>
          </cell>
          <cell r="I24">
            <v>2282105.6055999999</v>
          </cell>
          <cell r="J24">
            <v>18</v>
          </cell>
          <cell r="K24">
            <v>16.2</v>
          </cell>
          <cell r="L24">
            <v>165758.39999999999</v>
          </cell>
          <cell r="M24">
            <v>2510395.4055999997</v>
          </cell>
          <cell r="N24">
            <v>294.89997384675524</v>
          </cell>
          <cell r="O24">
            <v>3017416.5323999994</v>
          </cell>
          <cell r="P24">
            <v>54.586092404071941</v>
          </cell>
        </row>
        <row r="25">
          <cell r="B25" t="str">
            <v>150A235</v>
          </cell>
          <cell r="C25">
            <v>591.01733218611037</v>
          </cell>
          <cell r="D25">
            <v>53753</v>
          </cell>
          <cell r="E25">
            <v>31768954.65699999</v>
          </cell>
          <cell r="F25">
            <v>6.0959034844566808</v>
          </cell>
          <cell r="G25">
            <v>327673.09999999998</v>
          </cell>
          <cell r="H25">
            <v>250.64</v>
          </cell>
          <cell r="I25">
            <v>13472651.92</v>
          </cell>
          <cell r="J25">
            <v>19.36</v>
          </cell>
          <cell r="K25">
            <v>17.423999999999999</v>
          </cell>
          <cell r="L25">
            <v>936592.272</v>
          </cell>
          <cell r="M25">
            <v>14736917.291999999</v>
          </cell>
          <cell r="N25">
            <v>316.8574287016537</v>
          </cell>
          <cell r="O25">
            <v>17032037.364999991</v>
          </cell>
          <cell r="P25">
            <v>53.612205843377168</v>
          </cell>
        </row>
        <row r="26">
          <cell r="B26" t="str">
            <v>210-573</v>
          </cell>
          <cell r="C26">
            <v>687.7221513938315</v>
          </cell>
          <cell r="D26">
            <v>13488</v>
          </cell>
          <cell r="E26">
            <v>9275996.3779999986</v>
          </cell>
          <cell r="F26">
            <v>6.3163256227758016</v>
          </cell>
          <cell r="G26">
            <v>85194.6</v>
          </cell>
          <cell r="H26">
            <v>296.7119928825623</v>
          </cell>
          <cell r="I26">
            <v>4002051.3600000003</v>
          </cell>
          <cell r="J26">
            <v>21.1</v>
          </cell>
          <cell r="K26">
            <v>18.990000000000002</v>
          </cell>
          <cell r="L26">
            <v>256137.12000000002</v>
          </cell>
          <cell r="M26">
            <v>4343383.08</v>
          </cell>
          <cell r="N26">
            <v>365.70383288849337</v>
          </cell>
          <cell r="O26">
            <v>4932613.2979999986</v>
          </cell>
          <cell r="P26">
            <v>53.176102027149788</v>
          </cell>
        </row>
        <row r="27">
          <cell r="B27" t="str">
            <v>216-168</v>
          </cell>
          <cell r="C27">
            <v>669.93574505792253</v>
          </cell>
          <cell r="D27">
            <v>36169</v>
          </cell>
          <cell r="E27">
            <v>24230905.963</v>
          </cell>
          <cell r="F27">
            <v>7.3238491525892355</v>
          </cell>
          <cell r="G27">
            <v>264896.30000000005</v>
          </cell>
          <cell r="H27">
            <v>263.58598938317346</v>
          </cell>
          <cell r="I27">
            <v>9533641.6500000004</v>
          </cell>
          <cell r="J27">
            <v>20.399999999999999</v>
          </cell>
          <cell r="K27">
            <v>18.36</v>
          </cell>
          <cell r="L27">
            <v>664062.84</v>
          </cell>
          <cell r="M27">
            <v>10462600.790000001</v>
          </cell>
          <cell r="N27">
            <v>380.66590652215984</v>
          </cell>
          <cell r="O27">
            <v>13768305.172999999</v>
          </cell>
          <cell r="P27">
            <v>56.821256266785333</v>
          </cell>
        </row>
        <row r="28">
          <cell r="B28" t="str">
            <v>216-181</v>
          </cell>
          <cell r="C28">
            <v>838.62899999999991</v>
          </cell>
          <cell r="D28">
            <v>4749</v>
          </cell>
          <cell r="E28">
            <v>3982649.1209999998</v>
          </cell>
          <cell r="F28">
            <v>7.0819751526637189</v>
          </cell>
          <cell r="G28">
            <v>33632.300000000003</v>
          </cell>
          <cell r="H28">
            <v>381.48</v>
          </cell>
          <cell r="I28">
            <v>1811648.52</v>
          </cell>
          <cell r="J28">
            <v>25.45</v>
          </cell>
          <cell r="K28">
            <v>22.905000000000001</v>
          </cell>
          <cell r="L28">
            <v>108775.845</v>
          </cell>
          <cell r="M28">
            <v>1954056.665</v>
          </cell>
          <cell r="N28">
            <v>427.16202484733623</v>
          </cell>
          <cell r="O28">
            <v>2028592.4559999998</v>
          </cell>
          <cell r="P28">
            <v>50.935756436676563</v>
          </cell>
        </row>
        <row r="29">
          <cell r="B29" t="str">
            <v>216A168</v>
          </cell>
          <cell r="C29">
            <v>718.99370449862636</v>
          </cell>
          <cell r="D29">
            <v>11648</v>
          </cell>
          <cell r="E29">
            <v>8374838.6699999999</v>
          </cell>
          <cell r="F29">
            <v>6.2671359890109892</v>
          </cell>
          <cell r="G29">
            <v>72999.600000000006</v>
          </cell>
          <cell r="H29">
            <v>345.78</v>
          </cell>
          <cell r="I29">
            <v>4027645.4399999995</v>
          </cell>
          <cell r="J29">
            <v>17.8</v>
          </cell>
          <cell r="K29">
            <v>16.02</v>
          </cell>
          <cell r="L29">
            <v>186600.95999999999</v>
          </cell>
          <cell r="M29">
            <v>4287245.9999999991</v>
          </cell>
          <cell r="N29">
            <v>350.92656850961544</v>
          </cell>
          <cell r="O29">
            <v>4087592.6700000009</v>
          </cell>
          <cell r="P29">
            <v>48.808016859386264</v>
          </cell>
        </row>
        <row r="30">
          <cell r="B30" t="str">
            <v>217-858</v>
          </cell>
          <cell r="C30">
            <v>624.57628186618535</v>
          </cell>
          <cell r="D30">
            <v>59844</v>
          </cell>
          <cell r="E30">
            <v>37377143.011999995</v>
          </cell>
          <cell r="F30">
            <v>6.3771439074928145</v>
          </cell>
          <cell r="G30">
            <v>381633.8</v>
          </cell>
          <cell r="H30">
            <v>259.55</v>
          </cell>
          <cell r="I30">
            <v>15532510.200000001</v>
          </cell>
          <cell r="J30">
            <v>24.1</v>
          </cell>
          <cell r="K30">
            <v>21.69</v>
          </cell>
          <cell r="L30">
            <v>1298016.3600000001</v>
          </cell>
          <cell r="M30">
            <v>17212160.360000003</v>
          </cell>
          <cell r="N30">
            <v>336.95913795869245</v>
          </cell>
          <cell r="O30">
            <v>20164982.651999991</v>
          </cell>
          <cell r="P30">
            <v>53.950037448089574</v>
          </cell>
        </row>
        <row r="31">
          <cell r="B31" t="str">
            <v>217A858</v>
          </cell>
          <cell r="C31">
            <v>777.25203775119758</v>
          </cell>
          <cell r="D31">
            <v>33191</v>
          </cell>
          <cell r="E31">
            <v>25797772.384999998</v>
          </cell>
          <cell r="F31">
            <v>6.1312614865475581</v>
          </cell>
          <cell r="G31">
            <v>203502.7</v>
          </cell>
          <cell r="H31">
            <v>341.75291946612026</v>
          </cell>
          <cell r="I31">
            <v>11343121.149999999</v>
          </cell>
          <cell r="J31">
            <v>23.8</v>
          </cell>
          <cell r="K31">
            <v>21.42</v>
          </cell>
          <cell r="L31">
            <v>710951.22000000009</v>
          </cell>
          <cell r="M31">
            <v>12257575.069999998</v>
          </cell>
          <cell r="N31">
            <v>407.9478567985297</v>
          </cell>
          <cell r="O31">
            <v>13540197.314999999</v>
          </cell>
          <cell r="P31">
            <v>52.485916663381701</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553.37771381994116</v>
          </cell>
          <cell r="D41">
            <v>38032</v>
          </cell>
          <cell r="E41">
            <v>21046061.212000001</v>
          </cell>
          <cell r="F41">
            <v>11.876314682372739</v>
          </cell>
          <cell r="G41">
            <v>451680</v>
          </cell>
          <cell r="H41">
            <v>211.38</v>
          </cell>
          <cell r="I41">
            <v>8039204.1600000001</v>
          </cell>
          <cell r="J41">
            <v>17</v>
          </cell>
          <cell r="K41">
            <v>15.299999999999999</v>
          </cell>
          <cell r="L41">
            <v>581889.6</v>
          </cell>
          <cell r="M41">
            <v>9072773.7599999998</v>
          </cell>
          <cell r="N41">
            <v>314.82139913756839</v>
          </cell>
          <cell r="O41">
            <v>11973287.452000001</v>
          </cell>
          <cell r="P41">
            <v>56.89087060705257</v>
          </cell>
        </row>
        <row r="42">
          <cell r="B42" t="str">
            <v>100-049</v>
          </cell>
          <cell r="C42">
            <v>335.83</v>
          </cell>
          <cell r="D42">
            <v>1905</v>
          </cell>
          <cell r="E42">
            <v>639756.15</v>
          </cell>
          <cell r="F42">
            <v>13.66745406824147</v>
          </cell>
          <cell r="G42">
            <v>26036.5</v>
          </cell>
          <cell r="H42">
            <v>260.45</v>
          </cell>
          <cell r="I42">
            <v>496157.25</v>
          </cell>
          <cell r="J42">
            <v>25</v>
          </cell>
          <cell r="K42">
            <v>22.5</v>
          </cell>
          <cell r="L42">
            <v>42862.5</v>
          </cell>
          <cell r="M42">
            <v>565056.25</v>
          </cell>
          <cell r="N42">
            <v>39.212545931758541</v>
          </cell>
          <cell r="O42">
            <v>74699.900000000023</v>
          </cell>
          <cell r="P42">
            <v>11.676308230878284</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576.08185723192014</v>
          </cell>
          <cell r="D48">
            <v>3208</v>
          </cell>
          <cell r="E48">
            <v>1848070.5979999998</v>
          </cell>
          <cell r="F48">
            <v>6.5001870324189523</v>
          </cell>
          <cell r="G48">
            <v>20852.599999999999</v>
          </cell>
          <cell r="H48">
            <v>290</v>
          </cell>
          <cell r="I48">
            <v>930320</v>
          </cell>
          <cell r="J48">
            <v>12.14</v>
          </cell>
          <cell r="K48">
            <v>10.926</v>
          </cell>
          <cell r="L48">
            <v>35050.608</v>
          </cell>
          <cell r="M48">
            <v>986223.20799999998</v>
          </cell>
          <cell r="N48">
            <v>268.65567019950117</v>
          </cell>
          <cell r="O48">
            <v>861847.38999999978</v>
          </cell>
          <cell r="P48">
            <v>46.634981960791947</v>
          </cell>
        </row>
        <row r="49">
          <cell r="B49" t="str">
            <v>117-019</v>
          </cell>
          <cell r="C49">
            <v>706.73536654401357</v>
          </cell>
          <cell r="D49">
            <v>3533</v>
          </cell>
          <cell r="E49">
            <v>2496896.0499999998</v>
          </cell>
          <cell r="F49">
            <v>6.7857628078120582</v>
          </cell>
          <cell r="G49">
            <v>23974.100000000002</v>
          </cell>
          <cell r="H49">
            <v>315.25</v>
          </cell>
          <cell r="I49">
            <v>1113778.25</v>
          </cell>
          <cell r="J49">
            <v>25</v>
          </cell>
          <cell r="K49">
            <v>22.5</v>
          </cell>
          <cell r="L49">
            <v>79492.5</v>
          </cell>
          <cell r="M49">
            <v>1217244.8500000001</v>
          </cell>
          <cell r="N49">
            <v>362.19960373620142</v>
          </cell>
          <cell r="O49">
            <v>1279651.1999999997</v>
          </cell>
          <cell r="P49">
            <v>51.249678575926282</v>
          </cell>
        </row>
        <row r="50">
          <cell r="B50" t="str">
            <v>117-318</v>
          </cell>
          <cell r="C50">
            <v>573.13342321144671</v>
          </cell>
          <cell r="D50">
            <v>9435</v>
          </cell>
          <cell r="E50">
            <v>5407513.8479999993</v>
          </cell>
          <cell r="F50">
            <v>6.1545839957604667</v>
          </cell>
          <cell r="G50">
            <v>58068.5</v>
          </cell>
          <cell r="H50">
            <v>240.45</v>
          </cell>
          <cell r="I50">
            <v>2268645.75</v>
          </cell>
          <cell r="J50">
            <v>25</v>
          </cell>
          <cell r="K50">
            <v>22.5</v>
          </cell>
          <cell r="L50">
            <v>212287.5</v>
          </cell>
          <cell r="M50">
            <v>2539001.75</v>
          </cell>
          <cell r="N50">
            <v>304.02883921568622</v>
          </cell>
          <cell r="O50">
            <v>2868512.0979999993</v>
          </cell>
          <cell r="P50">
            <v>53.046782285373808</v>
          </cell>
        </row>
        <row r="51">
          <cell r="B51" t="str">
            <v>150-096</v>
          </cell>
          <cell r="C51">
            <v>678.06624784714757</v>
          </cell>
          <cell r="D51">
            <v>22296</v>
          </cell>
          <cell r="E51">
            <v>15118165.062000001</v>
          </cell>
          <cell r="F51">
            <v>6.2179852888410485</v>
          </cell>
          <cell r="G51">
            <v>138636.20000000001</v>
          </cell>
          <cell r="H51">
            <v>340.07</v>
          </cell>
          <cell r="I51">
            <v>7582200.7199999997</v>
          </cell>
          <cell r="J51">
            <v>15.209999999999999</v>
          </cell>
          <cell r="K51">
            <v>13.689</v>
          </cell>
          <cell r="L51">
            <v>305209.94400000002</v>
          </cell>
          <cell r="M51">
            <v>8026046.8640000001</v>
          </cell>
          <cell r="N51">
            <v>318.08926255830647</v>
          </cell>
          <cell r="O51">
            <v>7092118.1980000008</v>
          </cell>
          <cell r="P51">
            <v>46.911236707067516</v>
          </cell>
        </row>
        <row r="52">
          <cell r="B52" t="str">
            <v>150-234</v>
          </cell>
          <cell r="C52">
            <v>605.06956631578942</v>
          </cell>
          <cell r="D52">
            <v>475</v>
          </cell>
          <cell r="E52">
            <v>287408.04399999999</v>
          </cell>
          <cell r="F52">
            <v>4.7</v>
          </cell>
          <cell r="G52">
            <v>2232.5</v>
          </cell>
          <cell r="H52">
            <v>268.64526315789476</v>
          </cell>
          <cell r="I52">
            <v>127606.5</v>
          </cell>
          <cell r="J52">
            <v>15.22</v>
          </cell>
          <cell r="K52">
            <v>13.698</v>
          </cell>
          <cell r="L52">
            <v>6506.55</v>
          </cell>
          <cell r="M52">
            <v>136345.54999999999</v>
          </cell>
          <cell r="N52">
            <v>318.02630315789474</v>
          </cell>
          <cell r="O52">
            <v>151062.49400000001</v>
          </cell>
          <cell r="P52">
            <v>52.560287421878847</v>
          </cell>
        </row>
        <row r="53">
          <cell r="B53" t="str">
            <v>150A202</v>
          </cell>
          <cell r="C53">
            <v>415.23062266009845</v>
          </cell>
          <cell r="D53">
            <v>1015</v>
          </cell>
          <cell r="E53">
            <v>421459.08199999994</v>
          </cell>
          <cell r="F53">
            <v>5.0044334975369456</v>
          </cell>
          <cell r="G53">
            <v>5079.5</v>
          </cell>
          <cell r="H53">
            <v>179.28</v>
          </cell>
          <cell r="I53">
            <v>181969.2</v>
          </cell>
          <cell r="J53">
            <v>11.94</v>
          </cell>
          <cell r="K53">
            <v>10.746</v>
          </cell>
          <cell r="L53">
            <v>10907.19</v>
          </cell>
          <cell r="M53">
            <v>197955.89</v>
          </cell>
          <cell r="N53">
            <v>220.20018916256149</v>
          </cell>
          <cell r="O53">
            <v>223503.19199999992</v>
          </cell>
          <cell r="P53">
            <v>53.030816405565076</v>
          </cell>
        </row>
        <row r="54">
          <cell r="B54" t="str">
            <v>150A235</v>
          </cell>
          <cell r="C54">
            <v>593.62115553086812</v>
          </cell>
          <cell r="D54">
            <v>12602</v>
          </cell>
          <cell r="E54">
            <v>7480813.8020000001</v>
          </cell>
          <cell r="F54">
            <v>5.7200761783843825</v>
          </cell>
          <cell r="G54">
            <v>72084.399999999994</v>
          </cell>
          <cell r="H54">
            <v>270.14</v>
          </cell>
          <cell r="I54">
            <v>3404304.28</v>
          </cell>
          <cell r="J54">
            <v>19.36</v>
          </cell>
          <cell r="K54">
            <v>17.423999999999999</v>
          </cell>
          <cell r="L54">
            <v>219577.24799999999</v>
          </cell>
          <cell r="M54">
            <v>3695965.9279999998</v>
          </cell>
          <cell r="N54">
            <v>300.33707935248378</v>
          </cell>
          <cell r="O54">
            <v>3784847.8740000003</v>
          </cell>
          <cell r="P54">
            <v>50.594066022444231</v>
          </cell>
        </row>
        <row r="55">
          <cell r="B55" t="str">
            <v>210-573</v>
          </cell>
          <cell r="C55">
            <v>515.57000000000005</v>
          </cell>
          <cell r="D55">
            <v>1</v>
          </cell>
          <cell r="E55">
            <v>515.57000000000005</v>
          </cell>
          <cell r="F55">
            <v>66.7</v>
          </cell>
          <cell r="G55">
            <v>66.7</v>
          </cell>
          <cell r="H55">
            <v>293.97000000000003</v>
          </cell>
          <cell r="I55">
            <v>293.97000000000003</v>
          </cell>
          <cell r="J55">
            <v>21.1</v>
          </cell>
          <cell r="K55">
            <v>18.990000000000002</v>
          </cell>
          <cell r="L55">
            <v>18.990000000000002</v>
          </cell>
          <cell r="M55">
            <v>379.66</v>
          </cell>
          <cell r="N55">
            <v>135.91000000000003</v>
          </cell>
          <cell r="O55">
            <v>135.91000000000003</v>
          </cell>
          <cell r="P55">
            <v>26.361114882557175</v>
          </cell>
        </row>
        <row r="56">
          <cell r="B56" t="str">
            <v>216-168</v>
          </cell>
          <cell r="C56">
            <v>657.08232489586658</v>
          </cell>
          <cell r="D56">
            <v>24968</v>
          </cell>
          <cell r="E56">
            <v>16406031.487999998</v>
          </cell>
          <cell r="F56">
            <v>5.9236863184876647</v>
          </cell>
          <cell r="G56">
            <v>147902.6</v>
          </cell>
          <cell r="H56">
            <v>278.37050624799747</v>
          </cell>
          <cell r="I56">
            <v>6950354.8000000007</v>
          </cell>
          <cell r="J56">
            <v>20.399999999999999</v>
          </cell>
          <cell r="K56">
            <v>18.36</v>
          </cell>
          <cell r="L56">
            <v>458412.48</v>
          </cell>
          <cell r="M56">
            <v>7556669.8800000008</v>
          </cell>
          <cell r="N56">
            <v>354.42813232938147</v>
          </cell>
          <cell r="O56">
            <v>8849361.6079999972</v>
          </cell>
          <cell r="P56">
            <v>53.939684404926084</v>
          </cell>
        </row>
        <row r="57">
          <cell r="B57" t="str">
            <v>216A168</v>
          </cell>
          <cell r="C57">
            <v>709.08206717111364</v>
          </cell>
          <cell r="D57">
            <v>7533</v>
          </cell>
          <cell r="E57">
            <v>5341515.2119999994</v>
          </cell>
          <cell r="F57">
            <v>5.9778441523961234</v>
          </cell>
          <cell r="G57">
            <v>45031.1</v>
          </cell>
          <cell r="H57">
            <v>365.28</v>
          </cell>
          <cell r="I57">
            <v>2751654.2399999998</v>
          </cell>
          <cell r="J57">
            <v>17.8</v>
          </cell>
          <cell r="K57">
            <v>16.02</v>
          </cell>
          <cell r="L57">
            <v>120678.66</v>
          </cell>
          <cell r="M57">
            <v>2917364</v>
          </cell>
          <cell r="N57">
            <v>321.80422301871755</v>
          </cell>
          <cell r="O57">
            <v>2424151.2119999994</v>
          </cell>
          <cell r="P57">
            <v>45.383212736229119</v>
          </cell>
        </row>
        <row r="58">
          <cell r="B58" t="str">
            <v>217-858</v>
          </cell>
          <cell r="C58">
            <v>613.24896471604063</v>
          </cell>
          <cell r="D58">
            <v>50958</v>
          </cell>
          <cell r="E58">
            <v>31249940.743999999</v>
          </cell>
          <cell r="F58">
            <v>6.1611640959221319</v>
          </cell>
          <cell r="G58">
            <v>313960.59999999998</v>
          </cell>
          <cell r="H58">
            <v>279.05</v>
          </cell>
          <cell r="I58">
            <v>14219829.9</v>
          </cell>
          <cell r="J58">
            <v>24.1</v>
          </cell>
          <cell r="K58">
            <v>21.69</v>
          </cell>
          <cell r="L58">
            <v>1105279.02</v>
          </cell>
          <cell r="M58">
            <v>15639069.52</v>
          </cell>
          <cell r="N58">
            <v>306.34780062011851</v>
          </cell>
          <cell r="O58">
            <v>15610871.223999999</v>
          </cell>
          <cell r="P58">
            <v>49.954882640848822</v>
          </cell>
        </row>
        <row r="59">
          <cell r="B59" t="str">
            <v>217A858</v>
          </cell>
          <cell r="C59">
            <v>766.95289896351221</v>
          </cell>
          <cell r="D59">
            <v>11867</v>
          </cell>
          <cell r="E59">
            <v>9101430.0519999992</v>
          </cell>
          <cell r="F59">
            <v>6.0134743406084095</v>
          </cell>
          <cell r="G59">
            <v>71361.899999999994</v>
          </cell>
          <cell r="H59">
            <v>337.15</v>
          </cell>
          <cell r="I59">
            <v>4000959.05</v>
          </cell>
          <cell r="J59">
            <v>23.8</v>
          </cell>
          <cell r="K59">
            <v>21.42</v>
          </cell>
          <cell r="L59">
            <v>254191.14</v>
          </cell>
          <cell r="M59">
            <v>4326512.09</v>
          </cell>
          <cell r="N59">
            <v>402.36942462290381</v>
          </cell>
          <cell r="O59">
            <v>4774917.9619999994</v>
          </cell>
          <cell r="P59">
            <v>52.463381410602963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2.9006985191394246</v>
          </cell>
          <cell r="G101">
            <v>2642.5363509360159</v>
          </cell>
          <cell r="H101">
            <v>118.1</v>
          </cell>
          <cell r="I101">
            <v>107589.09999999999</v>
          </cell>
          <cell r="J101">
            <v>11.95</v>
          </cell>
          <cell r="K101">
            <v>10.754999999999999</v>
          </cell>
          <cell r="L101">
            <v>9797.8049999999985</v>
          </cell>
          <cell r="M101">
            <v>120029.441350936</v>
          </cell>
          <cell r="N101">
            <v>41.244301480860592</v>
          </cell>
          <cell r="O101">
            <v>37573.558649063998</v>
          </cell>
          <cell r="P101">
            <v>23.840636694139068</v>
          </cell>
        </row>
        <row r="102">
          <cell r="B102" t="str">
            <v>201L751</v>
          </cell>
          <cell r="C102">
            <v>147.63</v>
          </cell>
          <cell r="D102">
            <v>4364</v>
          </cell>
          <cell r="E102">
            <v>644257.31999999995</v>
          </cell>
          <cell r="F102">
            <v>2.9006985191394246</v>
          </cell>
          <cell r="G102">
            <v>12658.648337524448</v>
          </cell>
          <cell r="H102">
            <v>108.21</v>
          </cell>
          <cell r="I102">
            <v>472228.43999999994</v>
          </cell>
          <cell r="J102">
            <v>10.340000000000002</v>
          </cell>
          <cell r="K102">
            <v>9.3060000000000009</v>
          </cell>
          <cell r="L102">
            <v>40611.384000000005</v>
          </cell>
          <cell r="M102">
            <v>525498.47233752441</v>
          </cell>
          <cell r="N102">
            <v>27.213301480860572</v>
          </cell>
          <cell r="O102">
            <v>118758.84766247554</v>
          </cell>
          <cell r="P102">
            <v>18.433449489169256</v>
          </cell>
        </row>
        <row r="103">
          <cell r="B103" t="str">
            <v>201L912</v>
          </cell>
          <cell r="C103">
            <v>140</v>
          </cell>
          <cell r="D103">
            <v>4309</v>
          </cell>
          <cell r="E103">
            <v>603260</v>
          </cell>
          <cell r="F103">
            <v>2.9006985191394246</v>
          </cell>
          <cell r="G103">
            <v>12499.109918971781</v>
          </cell>
          <cell r="H103">
            <v>91.816516593177084</v>
          </cell>
          <cell r="I103">
            <v>395637.37000000005</v>
          </cell>
          <cell r="J103">
            <v>12</v>
          </cell>
          <cell r="K103">
            <v>10.8</v>
          </cell>
          <cell r="L103">
            <v>46537.200000000004</v>
          </cell>
          <cell r="M103">
            <v>454673.67991897184</v>
          </cell>
          <cell r="N103">
            <v>34.482784887683486</v>
          </cell>
          <cell r="O103">
            <v>148586.32008102816</v>
          </cell>
          <cell r="P103">
            <v>24.630560634059634</v>
          </cell>
        </row>
        <row r="104">
          <cell r="B104" t="str">
            <v>202L610</v>
          </cell>
          <cell r="C104">
            <v>190.82000000000002</v>
          </cell>
          <cell r="D104">
            <v>630</v>
          </cell>
          <cell r="E104">
            <v>120216.6</v>
          </cell>
          <cell r="F104">
            <v>2.9006985191394246</v>
          </cell>
          <cell r="G104">
            <v>1827.4400670578375</v>
          </cell>
          <cell r="H104">
            <v>129.43</v>
          </cell>
          <cell r="I104">
            <v>81540.900000000009</v>
          </cell>
          <cell r="J104">
            <v>12.28</v>
          </cell>
          <cell r="K104">
            <v>11.052</v>
          </cell>
          <cell r="L104">
            <v>6962.7599999999993</v>
          </cell>
          <cell r="M104">
            <v>90331.100067057836</v>
          </cell>
          <cell r="N104">
            <v>47.43730148086059</v>
          </cell>
          <cell r="O104">
            <v>29885.49993294217</v>
          </cell>
          <cell r="P104">
            <v>24.859711498197559</v>
          </cell>
        </row>
        <row r="105">
          <cell r="B105" t="str">
            <v>203L163</v>
          </cell>
          <cell r="C105">
            <v>195.53</v>
          </cell>
          <cell r="D105">
            <v>1150</v>
          </cell>
          <cell r="E105">
            <v>224859.5</v>
          </cell>
          <cell r="F105">
            <v>2.9006985191394246</v>
          </cell>
          <cell r="G105">
            <v>3335.8032970103382</v>
          </cell>
          <cell r="H105">
            <v>150.07826086956521</v>
          </cell>
          <cell r="I105">
            <v>172590</v>
          </cell>
          <cell r="J105">
            <v>13.7</v>
          </cell>
          <cell r="K105">
            <v>12.33</v>
          </cell>
          <cell r="L105">
            <v>14179.5</v>
          </cell>
          <cell r="M105">
            <v>190105.30329701034</v>
          </cell>
          <cell r="N105">
            <v>30.221040611295358</v>
          </cell>
          <cell r="O105">
            <v>34754.196702989662</v>
          </cell>
          <cell r="P105">
            <v>15.455961034774898</v>
          </cell>
        </row>
        <row r="106">
          <cell r="B106" t="str">
            <v>203L172</v>
          </cell>
          <cell r="C106">
            <v>216.44</v>
          </cell>
          <cell r="D106">
            <v>1432</v>
          </cell>
          <cell r="E106">
            <v>309942.08</v>
          </cell>
          <cell r="F106">
            <v>2.9006985191394241</v>
          </cell>
          <cell r="G106">
            <v>4153.8002794076556</v>
          </cell>
          <cell r="H106">
            <v>162.44999999999999</v>
          </cell>
          <cell r="I106">
            <v>232628.4</v>
          </cell>
          <cell r="J106">
            <v>12.969999999999999</v>
          </cell>
          <cell r="K106">
            <v>11.673</v>
          </cell>
          <cell r="L106">
            <v>16715.736000000001</v>
          </cell>
          <cell r="M106">
            <v>253497.93627940764</v>
          </cell>
          <cell r="N106">
            <v>39.416301480860596</v>
          </cell>
          <cell r="O106">
            <v>56444.143720592372</v>
          </cell>
          <cell r="P106">
            <v>18.211190852365828</v>
          </cell>
        </row>
        <row r="107">
          <cell r="B107" t="str">
            <v>205L535</v>
          </cell>
          <cell r="C107">
            <v>203.47</v>
          </cell>
          <cell r="D107">
            <v>637</v>
          </cell>
          <cell r="E107">
            <v>129610.39</v>
          </cell>
          <cell r="F107">
            <v>2.9006985191394246</v>
          </cell>
          <cell r="G107">
            <v>1847.7449566918135</v>
          </cell>
          <cell r="H107">
            <v>140.76</v>
          </cell>
          <cell r="I107">
            <v>89664.12</v>
          </cell>
          <cell r="J107">
            <v>12.84</v>
          </cell>
          <cell r="K107">
            <v>11.556000000000001</v>
          </cell>
          <cell r="L107">
            <v>7361.1720000000005</v>
          </cell>
          <cell r="M107">
            <v>98873.036956691809</v>
          </cell>
          <cell r="N107">
            <v>48.253301480860578</v>
          </cell>
          <cell r="O107">
            <v>30737.353043308191</v>
          </cell>
          <cell r="P107">
            <v>23.715192156514757</v>
          </cell>
        </row>
        <row r="108">
          <cell r="B108" t="str">
            <v>20L509</v>
          </cell>
          <cell r="C108">
            <v>136.96</v>
          </cell>
          <cell r="D108">
            <v>9</v>
          </cell>
          <cell r="E108">
            <v>1232.6400000000001</v>
          </cell>
          <cell r="F108">
            <v>2.9006985191394246</v>
          </cell>
          <cell r="G108">
            <v>26.106286672254821</v>
          </cell>
          <cell r="H108">
            <v>82.45</v>
          </cell>
          <cell r="I108">
            <v>742.05000000000007</v>
          </cell>
          <cell r="J108">
            <v>9.39</v>
          </cell>
          <cell r="K108">
            <v>8.4510000000000005</v>
          </cell>
          <cell r="L108">
            <v>76.058999999999997</v>
          </cell>
          <cell r="M108">
            <v>844.21528667225482</v>
          </cell>
          <cell r="N108">
            <v>43.158301480860587</v>
          </cell>
          <cell r="O108">
            <v>388.42471332774528</v>
          </cell>
          <cell r="P108">
            <v>31.511610310207789</v>
          </cell>
        </row>
        <row r="109">
          <cell r="B109" t="str">
            <v>210L260</v>
          </cell>
          <cell r="C109">
            <v>144.70000000000002</v>
          </cell>
          <cell r="D109">
            <v>1286</v>
          </cell>
          <cell r="E109">
            <v>186084.2</v>
          </cell>
          <cell r="F109">
            <v>2.9006985191394246</v>
          </cell>
          <cell r="G109">
            <v>3730.2982956133001</v>
          </cell>
          <cell r="H109">
            <v>103.24</v>
          </cell>
          <cell r="I109">
            <v>132766.63999999998</v>
          </cell>
          <cell r="J109">
            <v>8.31</v>
          </cell>
          <cell r="K109">
            <v>7.4790000000000001</v>
          </cell>
          <cell r="L109">
            <v>9617.9940000000006</v>
          </cell>
          <cell r="M109">
            <v>146114.93229561328</v>
          </cell>
          <cell r="N109">
            <v>31.080301480860598</v>
          </cell>
          <cell r="O109">
            <v>39969.26770438673</v>
          </cell>
          <cell r="P109">
            <v>21.479130256296195</v>
          </cell>
        </row>
        <row r="110">
          <cell r="B110" t="str">
            <v>217L214</v>
          </cell>
          <cell r="C110">
            <v>187.16</v>
          </cell>
          <cell r="D110">
            <v>282</v>
          </cell>
          <cell r="E110">
            <v>52779.12</v>
          </cell>
          <cell r="F110">
            <v>2.9006985191394246</v>
          </cell>
          <cell r="G110">
            <v>817.99698239731777</v>
          </cell>
          <cell r="H110">
            <v>116.48</v>
          </cell>
          <cell r="I110">
            <v>32847.360000000001</v>
          </cell>
          <cell r="J110">
            <v>11.34</v>
          </cell>
          <cell r="K110">
            <v>10.206</v>
          </cell>
          <cell r="L110">
            <v>2878.0919999999996</v>
          </cell>
          <cell r="M110">
            <v>36543.448982397313</v>
          </cell>
          <cell r="N110">
            <v>57.5733014808606</v>
          </cell>
          <cell r="O110">
            <v>16235.67101760269</v>
          </cell>
          <cell r="P110">
            <v>30.761541718775696</v>
          </cell>
        </row>
        <row r="111">
          <cell r="B111" t="str">
            <v>21L427</v>
          </cell>
          <cell r="C111">
            <v>240.89</v>
          </cell>
          <cell r="D111">
            <v>708</v>
          </cell>
          <cell r="E111">
            <v>170550.12</v>
          </cell>
          <cell r="F111">
            <v>2.9006985191394246</v>
          </cell>
          <cell r="G111">
            <v>2053.6945515507127</v>
          </cell>
          <cell r="H111">
            <v>160.19</v>
          </cell>
          <cell r="I111">
            <v>113414.52</v>
          </cell>
          <cell r="J111">
            <v>11.5</v>
          </cell>
          <cell r="K111">
            <v>10.35</v>
          </cell>
          <cell r="L111">
            <v>7327.8</v>
          </cell>
          <cell r="M111">
            <v>122796.01455155072</v>
          </cell>
          <cell r="N111">
            <v>67.449301480860555</v>
          </cell>
          <cell r="O111">
            <v>47754.105448449278</v>
          </cell>
          <cell r="P111">
            <v>28.0000421274692</v>
          </cell>
        </row>
        <row r="112">
          <cell r="B112" t="str">
            <v>225L622</v>
          </cell>
          <cell r="C112">
            <v>140.53</v>
          </cell>
          <cell r="D112">
            <v>72</v>
          </cell>
          <cell r="E112">
            <v>10118.16</v>
          </cell>
          <cell r="F112">
            <v>2.9006985191394246</v>
          </cell>
          <cell r="G112">
            <v>208.85029337803857</v>
          </cell>
          <cell r="H112">
            <v>86.578888888888898</v>
          </cell>
          <cell r="I112">
            <v>6233.68</v>
          </cell>
          <cell r="J112">
            <v>13.5</v>
          </cell>
          <cell r="K112">
            <v>12.15</v>
          </cell>
          <cell r="L112">
            <v>874.80000000000007</v>
          </cell>
          <cell r="M112">
            <v>7317.3302933780387</v>
          </cell>
          <cell r="N112">
            <v>38.90041259197168</v>
          </cell>
          <cell r="O112">
            <v>2800.8297066219611</v>
          </cell>
          <cell r="P112">
            <v>27.681215820089434</v>
          </cell>
        </row>
        <row r="113">
          <cell r="B113" t="str">
            <v>230L056</v>
          </cell>
          <cell r="C113">
            <v>272.83</v>
          </cell>
          <cell r="D113">
            <v>120</v>
          </cell>
          <cell r="E113">
            <v>32739.599999999999</v>
          </cell>
          <cell r="F113">
            <v>2.9006985191394246</v>
          </cell>
          <cell r="G113">
            <v>348.08382229673094</v>
          </cell>
          <cell r="H113">
            <v>171.8</v>
          </cell>
          <cell r="I113">
            <v>20616</v>
          </cell>
          <cell r="J113">
            <v>13.97</v>
          </cell>
          <cell r="K113">
            <v>12.573</v>
          </cell>
          <cell r="L113">
            <v>1508.76</v>
          </cell>
          <cell r="M113">
            <v>22472.843822296731</v>
          </cell>
          <cell r="N113">
            <v>85.556301480860569</v>
          </cell>
          <cell r="O113">
            <v>10266.756177703268</v>
          </cell>
          <cell r="P113">
            <v>31.358832049576868</v>
          </cell>
        </row>
        <row r="114">
          <cell r="B114" t="str">
            <v>401L364</v>
          </cell>
          <cell r="C114">
            <v>136.5</v>
          </cell>
          <cell r="D114">
            <v>400</v>
          </cell>
          <cell r="E114">
            <v>54600</v>
          </cell>
          <cell r="F114">
            <v>2.9006985191394246</v>
          </cell>
          <cell r="G114">
            <v>1160.2794076557698</v>
          </cell>
          <cell r="H114">
            <v>94.63</v>
          </cell>
          <cell r="I114">
            <v>37852</v>
          </cell>
          <cell r="J114">
            <v>7</v>
          </cell>
          <cell r="K114">
            <v>6.3</v>
          </cell>
          <cell r="L114">
            <v>2520</v>
          </cell>
          <cell r="M114">
            <v>41532.279407655769</v>
          </cell>
          <cell r="N114">
            <v>32.669301480860575</v>
          </cell>
          <cell r="O114">
            <v>13067.720592344231</v>
          </cell>
          <cell r="P114">
            <v>23.933554198432656</v>
          </cell>
        </row>
        <row r="115">
          <cell r="B115" t="str">
            <v>750L961</v>
          </cell>
          <cell r="C115">
            <v>124.82</v>
          </cell>
          <cell r="D115">
            <v>39</v>
          </cell>
          <cell r="E115">
            <v>4867.9799999999996</v>
          </cell>
          <cell r="F115">
            <v>2.9006985191394246</v>
          </cell>
          <cell r="G115">
            <v>113.12724224643756</v>
          </cell>
          <cell r="H115">
            <v>89.32</v>
          </cell>
          <cell r="I115">
            <v>3483.4799999999996</v>
          </cell>
          <cell r="J115">
            <v>5.44</v>
          </cell>
          <cell r="K115">
            <v>4.8960000000000008</v>
          </cell>
          <cell r="L115">
            <v>190.94400000000002</v>
          </cell>
          <cell r="M115">
            <v>3787.5512422464371</v>
          </cell>
          <cell r="N115">
            <v>27.703301480860574</v>
          </cell>
          <cell r="O115">
            <v>1080.4287577535624</v>
          </cell>
          <cell r="P115">
            <v>22.194601410719898</v>
          </cell>
        </row>
        <row r="116">
          <cell r="B116" t="str">
            <v>751L865</v>
          </cell>
          <cell r="C116">
            <v>102.52</v>
          </cell>
          <cell r="D116">
            <v>116</v>
          </cell>
          <cell r="E116">
            <v>11892.32</v>
          </cell>
          <cell r="F116">
            <v>2.9006985191394246</v>
          </cell>
          <cell r="G116">
            <v>336.48102822017324</v>
          </cell>
          <cell r="H116">
            <v>104.23</v>
          </cell>
          <cell r="I116">
            <v>12090.68</v>
          </cell>
          <cell r="J116">
            <v>5</v>
          </cell>
          <cell r="K116">
            <v>4.5</v>
          </cell>
          <cell r="L116">
            <v>522</v>
          </cell>
          <cell r="M116">
            <v>12949.161028220173</v>
          </cell>
          <cell r="N116">
            <v>-9.1106985191394223</v>
          </cell>
          <cell r="O116">
            <v>-1056.841028220173</v>
          </cell>
          <cell r="P116">
            <v>-8.8867523596755973</v>
          </cell>
        </row>
        <row r="117">
          <cell r="B117" t="str">
            <v>753L057</v>
          </cell>
          <cell r="C117">
            <v>127.02000000000001</v>
          </cell>
          <cell r="D117">
            <v>716</v>
          </cell>
          <cell r="E117">
            <v>90946.32</v>
          </cell>
          <cell r="F117">
            <v>2.9006985191394241</v>
          </cell>
          <cell r="G117">
            <v>2076.9001397038278</v>
          </cell>
          <cell r="H117">
            <v>81.496201117318435</v>
          </cell>
          <cell r="I117">
            <v>58351.28</v>
          </cell>
          <cell r="J117">
            <v>6</v>
          </cell>
          <cell r="K117">
            <v>5.4</v>
          </cell>
          <cell r="L117">
            <v>3866.4</v>
          </cell>
          <cell r="M117">
            <v>64294.58013970383</v>
          </cell>
          <cell r="N117">
            <v>37.223100363542144</v>
          </cell>
          <cell r="O117">
            <v>26651.739860296177</v>
          </cell>
          <cell r="P117">
            <v>29.304912898395642</v>
          </cell>
        </row>
        <row r="118">
          <cell r="B118" t="str">
            <v>753L112</v>
          </cell>
          <cell r="C118">
            <v>106.35</v>
          </cell>
          <cell r="D118">
            <v>120</v>
          </cell>
          <cell r="E118">
            <v>12762</v>
          </cell>
          <cell r="F118">
            <v>2.9006985191394246</v>
          </cell>
          <cell r="G118">
            <v>348.08382229673094</v>
          </cell>
          <cell r="H118">
            <v>72.266666666666666</v>
          </cell>
          <cell r="I118">
            <v>8672</v>
          </cell>
          <cell r="J118">
            <v>5.5</v>
          </cell>
          <cell r="K118">
            <v>4.95</v>
          </cell>
          <cell r="L118">
            <v>594</v>
          </cell>
          <cell r="M118">
            <v>9614.0838222967304</v>
          </cell>
          <cell r="N118">
            <v>26.232634814193911</v>
          </cell>
          <cell r="O118">
            <v>3147.9161777032696</v>
          </cell>
          <cell r="P118">
            <v>24.6663232855608</v>
          </cell>
        </row>
        <row r="119">
          <cell r="B119" t="str">
            <v>753L293</v>
          </cell>
          <cell r="C119">
            <v>144.32</v>
          </cell>
          <cell r="D119">
            <v>273</v>
          </cell>
          <cell r="E119">
            <v>39399.360000000001</v>
          </cell>
          <cell r="F119">
            <v>2.9006985191394246</v>
          </cell>
          <cell r="G119">
            <v>791.89069572506287</v>
          </cell>
          <cell r="H119">
            <v>97.846069597069587</v>
          </cell>
          <cell r="I119">
            <v>26711.976999999999</v>
          </cell>
          <cell r="J119">
            <v>6.4</v>
          </cell>
          <cell r="K119">
            <v>5.7600000000000007</v>
          </cell>
          <cell r="L119">
            <v>1572.4800000000002</v>
          </cell>
          <cell r="M119">
            <v>29076.34769572506</v>
          </cell>
          <cell r="N119">
            <v>37.813231883790991</v>
          </cell>
          <cell r="O119">
            <v>10323.01230427494</v>
          </cell>
          <cell r="P119">
            <v>26.200964442759833</v>
          </cell>
        </row>
        <row r="120">
          <cell r="B120" t="str">
            <v>76L216</v>
          </cell>
          <cell r="C120">
            <v>136.51999999999998</v>
          </cell>
          <cell r="D120">
            <v>319</v>
          </cell>
          <cell r="E120">
            <v>43549.88</v>
          </cell>
          <cell r="F120">
            <v>2.9006985191394246</v>
          </cell>
          <cell r="G120">
            <v>925.32282760547639</v>
          </cell>
          <cell r="H120">
            <v>100.14877742946709</v>
          </cell>
          <cell r="I120">
            <v>31947.460000000003</v>
          </cell>
          <cell r="J120">
            <v>2.46</v>
          </cell>
          <cell r="K120">
            <v>2.214</v>
          </cell>
          <cell r="L120">
            <v>706.26599999999996</v>
          </cell>
          <cell r="M120">
            <v>33579.048827605482</v>
          </cell>
          <cell r="N120">
            <v>31.256524051393466</v>
          </cell>
          <cell r="O120">
            <v>9970.8311723945153</v>
          </cell>
          <cell r="P120">
            <v>22.895197810865419</v>
          </cell>
        </row>
        <row r="121">
          <cell r="B121" t="str">
            <v>76L217</v>
          </cell>
          <cell r="C121">
            <v>114.52</v>
          </cell>
          <cell r="D121">
            <v>1</v>
          </cell>
          <cell r="E121">
            <v>114.52</v>
          </cell>
          <cell r="F121">
            <v>2.9006985191394246</v>
          </cell>
          <cell r="G121">
            <v>2.9006985191394246</v>
          </cell>
          <cell r="H121">
            <v>94.17</v>
          </cell>
          <cell r="I121">
            <v>94.17</v>
          </cell>
          <cell r="J121">
            <v>2.8</v>
          </cell>
          <cell r="K121">
            <v>2.52</v>
          </cell>
          <cell r="L121">
            <v>2.52</v>
          </cell>
          <cell r="M121">
            <v>99.590698519139423</v>
          </cell>
          <cell r="N121">
            <v>14.929301480860573</v>
          </cell>
          <cell r="O121">
            <v>14.929301480860573</v>
          </cell>
          <cell r="P121">
            <v>13.036414146752159</v>
          </cell>
        </row>
        <row r="122">
          <cell r="B122" t="str">
            <v>B10022L</v>
          </cell>
          <cell r="C122">
            <v>180.53</v>
          </cell>
          <cell r="D122">
            <v>1</v>
          </cell>
          <cell r="E122">
            <v>180.53</v>
          </cell>
          <cell r="F122">
            <v>2.9006985191394246</v>
          </cell>
          <cell r="G122">
            <v>2.9006985191394246</v>
          </cell>
          <cell r="H122">
            <v>249.73</v>
          </cell>
          <cell r="I122">
            <v>249.73</v>
          </cell>
          <cell r="J122">
            <v>17.21</v>
          </cell>
          <cell r="K122">
            <v>15.489000000000001</v>
          </cell>
          <cell r="L122">
            <v>15.489000000000001</v>
          </cell>
          <cell r="M122">
            <v>268.11969851913943</v>
          </cell>
          <cell r="N122">
            <v>-87.589698519139432</v>
          </cell>
          <cell r="O122">
            <v>-87.589698519139432</v>
          </cell>
          <cell r="P122">
            <v>-48.518084816451243</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s>
    <sheetDataSet>
      <sheetData sheetId="0" refreshError="1"/>
      <sheetData sheetId="1"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B119">
            <v>0</v>
          </cell>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B138" t="str">
            <v>237L063</v>
          </cell>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-1.2547528517110267</v>
          </cell>
        </row>
        <row r="140">
          <cell r="B140" t="str">
            <v>POLAND</v>
          </cell>
          <cell r="C140">
            <v>52.599999999999994</v>
          </cell>
          <cell r="D140">
            <v>169</v>
          </cell>
          <cell r="E140">
            <v>8889.4</v>
          </cell>
          <cell r="F140">
            <v>1.3</v>
          </cell>
          <cell r="G140">
            <v>219.70000000000002</v>
          </cell>
          <cell r="H140">
            <v>43.052900000000001</v>
          </cell>
          <cell r="I140">
            <v>7275.9400999999998</v>
          </cell>
          <cell r="J140">
            <v>4.75</v>
          </cell>
          <cell r="K140">
            <v>3.8000000000000003</v>
          </cell>
          <cell r="L140">
            <v>642.20000000000005</v>
          </cell>
          <cell r="M140">
            <v>8137.8400999999994</v>
          </cell>
          <cell r="N140">
            <v>4.4471000000000016</v>
          </cell>
          <cell r="O140">
            <v>751.5599000000002</v>
          </cell>
          <cell r="P140">
            <v>8.454562737642588</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403.35055636725878</v>
          </cell>
          <cell r="D18">
            <v>24092</v>
          </cell>
          <cell r="E18">
            <v>9717521.6039999984</v>
          </cell>
          <cell r="F18">
            <v>2.3112236427029718</v>
          </cell>
          <cell r="G18">
            <v>55682</v>
          </cell>
          <cell r="H18">
            <v>205.42</v>
          </cell>
          <cell r="I18">
            <v>4948978.6399999997</v>
          </cell>
          <cell r="J18">
            <v>11.400000000000002</v>
          </cell>
          <cell r="K18">
            <v>9.918000000000001</v>
          </cell>
          <cell r="L18">
            <v>238944.45600000003</v>
          </cell>
          <cell r="M18">
            <v>5243605.0959999999</v>
          </cell>
          <cell r="N18">
            <v>185.70133272455581</v>
          </cell>
          <cell r="O18">
            <v>4473916.5079999985</v>
          </cell>
          <cell r="P18">
            <v>46.039686767029281</v>
          </cell>
        </row>
        <row r="19">
          <cell r="B19" t="str">
            <v>209-335</v>
          </cell>
          <cell r="C19">
            <v>458.98524140518231</v>
          </cell>
          <cell r="D19">
            <v>37319</v>
          </cell>
          <cell r="E19">
            <v>17128870.223999999</v>
          </cell>
          <cell r="F19">
            <v>2.3212304724135158</v>
          </cell>
          <cell r="G19">
            <v>86626</v>
          </cell>
          <cell r="H19">
            <v>262.56</v>
          </cell>
          <cell r="I19">
            <v>9798476.6400000006</v>
          </cell>
          <cell r="J19">
            <v>15.85</v>
          </cell>
          <cell r="K19">
            <v>13.7895</v>
          </cell>
          <cell r="L19">
            <v>514610.3505</v>
          </cell>
          <cell r="M19">
            <v>10399712.990500001</v>
          </cell>
          <cell r="N19">
            <v>180.31451093276877</v>
          </cell>
          <cell r="O19">
            <v>6729157.2334999982</v>
          </cell>
          <cell r="P19">
            <v>39.285470352104632</v>
          </cell>
        </row>
        <row r="20">
          <cell r="B20" t="str">
            <v>209-549</v>
          </cell>
          <cell r="C20">
            <v>526.75985125741738</v>
          </cell>
          <cell r="D20">
            <v>53085</v>
          </cell>
          <cell r="E20">
            <v>27963046.704000004</v>
          </cell>
          <cell r="F20">
            <v>2.281284732033531</v>
          </cell>
          <cell r="G20">
            <v>121102</v>
          </cell>
          <cell r="H20">
            <v>273.43</v>
          </cell>
          <cell r="I20">
            <v>14515031.550000001</v>
          </cell>
          <cell r="J20">
            <v>12.66</v>
          </cell>
          <cell r="K20">
            <v>11.014200000000001</v>
          </cell>
          <cell r="L20">
            <v>584688.80700000003</v>
          </cell>
          <cell r="M20">
            <v>15220822.357000001</v>
          </cell>
          <cell r="N20">
            <v>240.03436652538386</v>
          </cell>
          <cell r="O20">
            <v>12742224.347000003</v>
          </cell>
          <cell r="P20">
            <v>45.568083055761157</v>
          </cell>
        </row>
        <row r="21">
          <cell r="B21" t="str">
            <v>209A335</v>
          </cell>
          <cell r="C21">
            <v>565.54573936639304</v>
          </cell>
          <cell r="D21">
            <v>14741</v>
          </cell>
          <cell r="E21">
            <v>8336709.7439999999</v>
          </cell>
          <cell r="F21">
            <v>2.4389797164371481</v>
          </cell>
          <cell r="G21">
            <v>35953</v>
          </cell>
          <cell r="H21">
            <v>301.56</v>
          </cell>
          <cell r="I21">
            <v>4445295.96</v>
          </cell>
          <cell r="J21">
            <v>16.559999999999999</v>
          </cell>
          <cell r="K21">
            <v>14.4072</v>
          </cell>
          <cell r="L21">
            <v>212376.53519999998</v>
          </cell>
          <cell r="M21">
            <v>4693625.4951999998</v>
          </cell>
          <cell r="N21">
            <v>247.13955964995591</v>
          </cell>
          <cell r="O21">
            <v>3643084.2488000002</v>
          </cell>
          <cell r="P21">
            <v>43.699305369506938</v>
          </cell>
        </row>
        <row r="22">
          <cell r="B22" t="str">
            <v>209A549</v>
          </cell>
          <cell r="C22">
            <v>744.04000000000019</v>
          </cell>
          <cell r="D22">
            <v>17012</v>
          </cell>
          <cell r="E22">
            <v>12657608.480000002</v>
          </cell>
          <cell r="F22">
            <v>2.3458735010580765</v>
          </cell>
          <cell r="G22">
            <v>39908</v>
          </cell>
          <cell r="H22">
            <v>419.61</v>
          </cell>
          <cell r="I22">
            <v>7138405.3200000003</v>
          </cell>
          <cell r="J22">
            <v>28</v>
          </cell>
          <cell r="K22">
            <v>24.36</v>
          </cell>
          <cell r="L22">
            <v>414412.32</v>
          </cell>
          <cell r="M22">
            <v>7592725.6400000006</v>
          </cell>
          <cell r="N22">
            <v>297.72412649894204</v>
          </cell>
          <cell r="O22">
            <v>5064882.8400000017</v>
          </cell>
          <cell r="P22">
            <v>40.014532350269064</v>
          </cell>
        </row>
        <row r="23">
          <cell r="B23" t="str">
            <v>210-573</v>
          </cell>
          <cell r="C23">
            <v>549.08089055128141</v>
          </cell>
          <cell r="D23">
            <v>23527</v>
          </cell>
          <cell r="E23">
            <v>12918226.111999998</v>
          </cell>
          <cell r="F23">
            <v>2.9720746376503593</v>
          </cell>
          <cell r="G23">
            <v>69924</v>
          </cell>
          <cell r="H23">
            <v>260.54000000000002</v>
          </cell>
          <cell r="I23">
            <v>6129724.5800000001</v>
          </cell>
          <cell r="J23">
            <v>22.800000000000004</v>
          </cell>
          <cell r="K23">
            <v>19.836000000000002</v>
          </cell>
          <cell r="L23">
            <v>466681.57200000004</v>
          </cell>
          <cell r="M23">
            <v>6666330.1519999998</v>
          </cell>
          <cell r="N23">
            <v>265.73281591363104</v>
          </cell>
          <cell r="O23">
            <v>6251895.9599999981</v>
          </cell>
          <cell r="P23">
            <v>48.395932272717282</v>
          </cell>
        </row>
        <row r="24">
          <cell r="B24" t="str">
            <v>210A573</v>
          </cell>
          <cell r="C24">
            <v>555.48295915986012</v>
          </cell>
          <cell r="D24">
            <v>2571</v>
          </cell>
          <cell r="E24">
            <v>1428146.6880000003</v>
          </cell>
          <cell r="F24">
            <v>3.0816802800466743</v>
          </cell>
          <cell r="G24">
            <v>7923</v>
          </cell>
          <cell r="H24">
            <v>264.56</v>
          </cell>
          <cell r="I24">
            <v>680183.76</v>
          </cell>
          <cell r="J24">
            <v>30.000000000000004</v>
          </cell>
          <cell r="K24">
            <v>26.1</v>
          </cell>
          <cell r="L24">
            <v>67103.100000000006</v>
          </cell>
          <cell r="M24">
            <v>755209.86</v>
          </cell>
          <cell r="N24">
            <v>261.74127887981342</v>
          </cell>
          <cell r="O24">
            <v>672936.82800000033</v>
          </cell>
          <cell r="P24">
            <v>47.119587480358334</v>
          </cell>
        </row>
        <row r="25">
          <cell r="B25" t="str">
            <v>217-675</v>
          </cell>
          <cell r="C25">
            <v>540.78598061770754</v>
          </cell>
          <cell r="D25">
            <v>36425</v>
          </cell>
          <cell r="E25">
            <v>19698129.343999997</v>
          </cell>
          <cell r="F25">
            <v>4.9344955387783118</v>
          </cell>
          <cell r="G25">
            <v>179739</v>
          </cell>
          <cell r="H25">
            <v>279.37</v>
          </cell>
          <cell r="I25">
            <v>10176052.25</v>
          </cell>
          <cell r="J25">
            <v>19.21</v>
          </cell>
          <cell r="K25">
            <v>16.712700000000002</v>
          </cell>
          <cell r="L25">
            <v>608760.09750000003</v>
          </cell>
          <cell r="M25">
            <v>10964551.3475</v>
          </cell>
          <cell r="N25">
            <v>239.76878507892923</v>
          </cell>
          <cell r="O25">
            <v>8733577.9964999966</v>
          </cell>
          <cell r="P25">
            <v>44.337093355315105</v>
          </cell>
        </row>
        <row r="26">
          <cell r="B26" t="str">
            <v>217-718</v>
          </cell>
          <cell r="C26">
            <v>399.39665921443958</v>
          </cell>
          <cell r="D26">
            <v>19502</v>
          </cell>
          <cell r="E26">
            <v>7789033.648000001</v>
          </cell>
          <cell r="F26">
            <v>2.5202030560968107</v>
          </cell>
          <cell r="G26">
            <v>49149</v>
          </cell>
          <cell r="H26">
            <v>218.94999999999996</v>
          </cell>
          <cell r="I26">
            <v>4269962.8999999994</v>
          </cell>
          <cell r="J26">
            <v>15.000000000000002</v>
          </cell>
          <cell r="K26">
            <v>13.05</v>
          </cell>
          <cell r="L26">
            <v>254501.1</v>
          </cell>
          <cell r="M26">
            <v>4573612.9999999991</v>
          </cell>
          <cell r="N26">
            <v>164.87645615834282</v>
          </cell>
          <cell r="O26">
            <v>3215420.6480000019</v>
          </cell>
          <cell r="P26">
            <v>41.281380891525984</v>
          </cell>
        </row>
        <row r="27">
          <cell r="B27" t="str">
            <v>217-858</v>
          </cell>
          <cell r="C27">
            <v>497.41785215088606</v>
          </cell>
          <cell r="D27">
            <v>300969</v>
          </cell>
          <cell r="E27">
            <v>149707353.54400003</v>
          </cell>
          <cell r="F27">
            <v>3.0782073901298803</v>
          </cell>
          <cell r="G27">
            <v>926445</v>
          </cell>
          <cell r="H27">
            <v>248.56</v>
          </cell>
          <cell r="I27">
            <v>74808854.640000001</v>
          </cell>
          <cell r="J27">
            <v>26</v>
          </cell>
          <cell r="K27">
            <v>22.62</v>
          </cell>
          <cell r="L27">
            <v>6807918.7800000003</v>
          </cell>
          <cell r="M27">
            <v>82543218.420000002</v>
          </cell>
          <cell r="N27">
            <v>223.15964476075618</v>
          </cell>
          <cell r="O27">
            <v>67164135.124000028</v>
          </cell>
          <cell r="P27">
            <v>44.863617941292389</v>
          </cell>
        </row>
        <row r="28">
          <cell r="B28" t="str">
            <v>217-942</v>
          </cell>
          <cell r="C28">
            <v>481.31200000000001</v>
          </cell>
          <cell r="D28">
            <v>24524</v>
          </cell>
          <cell r="E28">
            <v>11803695.488</v>
          </cell>
          <cell r="F28">
            <v>4.9630158212363398</v>
          </cell>
          <cell r="G28">
            <v>121713</v>
          </cell>
          <cell r="H28">
            <v>238</v>
          </cell>
          <cell r="I28">
            <v>5836712</v>
          </cell>
          <cell r="J28">
            <v>18.319999999999997</v>
          </cell>
          <cell r="K28">
            <v>15.938399999999998</v>
          </cell>
          <cell r="L28">
            <v>390873.32159999997</v>
          </cell>
          <cell r="M28">
            <v>6349298.3216000004</v>
          </cell>
          <cell r="N28">
            <v>222.41058417876363</v>
          </cell>
          <cell r="O28">
            <v>5454397.1663999995</v>
          </cell>
          <cell r="P28">
            <v>46.209233133344611</v>
          </cell>
        </row>
        <row r="29">
          <cell r="B29" t="str">
            <v>217-987</v>
          </cell>
          <cell r="C29">
            <v>511.38911703844337</v>
          </cell>
          <cell r="D29">
            <v>21070</v>
          </cell>
          <cell r="E29">
            <v>10774968.696000002</v>
          </cell>
          <cell r="F29">
            <v>2.6866635026103465</v>
          </cell>
          <cell r="G29">
            <v>56608</v>
          </cell>
          <cell r="H29">
            <v>242.2</v>
          </cell>
          <cell r="I29">
            <v>5103154</v>
          </cell>
          <cell r="J29">
            <v>20</v>
          </cell>
          <cell r="K29">
            <v>17.399999999999999</v>
          </cell>
          <cell r="L29">
            <v>366617.99999999994</v>
          </cell>
          <cell r="M29">
            <v>5526380</v>
          </cell>
          <cell r="N29">
            <v>249.10245353583304</v>
          </cell>
          <cell r="O29">
            <v>5248588.6960000023</v>
          </cell>
          <cell r="P29">
            <v>48.710941480028971</v>
          </cell>
        </row>
        <row r="30">
          <cell r="B30" t="str">
            <v>217A718</v>
          </cell>
          <cell r="C30">
            <v>455.02319791278421</v>
          </cell>
          <cell r="D30">
            <v>5366</v>
          </cell>
          <cell r="E30">
            <v>2441654.48</v>
          </cell>
          <cell r="F30">
            <v>2.6846813268729033</v>
          </cell>
          <cell r="G30">
            <v>14406</v>
          </cell>
          <cell r="H30">
            <v>219.56</v>
          </cell>
          <cell r="I30">
            <v>1178158.96</v>
          </cell>
          <cell r="J30">
            <v>20</v>
          </cell>
          <cell r="K30">
            <v>17.399999999999999</v>
          </cell>
          <cell r="L30">
            <v>93368.4</v>
          </cell>
          <cell r="M30">
            <v>1285933.3599999999</v>
          </cell>
          <cell r="N30">
            <v>215.37851658591131</v>
          </cell>
          <cell r="O30">
            <v>1155721.1200000001</v>
          </cell>
          <cell r="P30">
            <v>47.333524438724027</v>
          </cell>
        </row>
        <row r="31">
          <cell r="B31" t="str">
            <v>217A858</v>
          </cell>
          <cell r="C31">
            <v>603.0839100778594</v>
          </cell>
          <cell r="D31">
            <v>63833</v>
          </cell>
          <cell r="E31">
            <v>38496655.232000001</v>
          </cell>
          <cell r="F31">
            <v>3.0898438111948363</v>
          </cell>
          <cell r="G31">
            <v>197234</v>
          </cell>
          <cell r="H31">
            <v>294</v>
          </cell>
          <cell r="I31">
            <v>18766902</v>
          </cell>
          <cell r="J31">
            <v>26</v>
          </cell>
          <cell r="K31">
            <v>22.62</v>
          </cell>
          <cell r="L31">
            <v>1443902.46</v>
          </cell>
          <cell r="M31">
            <v>20408038.460000001</v>
          </cell>
          <cell r="N31">
            <v>283.37406626666456</v>
          </cell>
          <cell r="O31">
            <v>18088616.772</v>
          </cell>
          <cell r="P31">
            <v>46.987502324524023</v>
          </cell>
        </row>
        <row r="32">
          <cell r="B32" t="str">
            <v>219-071</v>
          </cell>
          <cell r="C32">
            <v>467.46733469496496</v>
          </cell>
          <cell r="D32">
            <v>11261</v>
          </cell>
          <cell r="E32">
            <v>5264149.6560000004</v>
          </cell>
          <cell r="F32">
            <v>4.9482283988988547</v>
          </cell>
          <cell r="G32">
            <v>55722</v>
          </cell>
          <cell r="H32">
            <v>320.45999999999998</v>
          </cell>
          <cell r="I32">
            <v>3608700.0599999996</v>
          </cell>
          <cell r="J32">
            <v>20</v>
          </cell>
          <cell r="K32">
            <v>17.399999999999999</v>
          </cell>
          <cell r="L32">
            <v>195941.4</v>
          </cell>
          <cell r="M32">
            <v>3860363.4599999995</v>
          </cell>
          <cell r="N32">
            <v>124.65910629606616</v>
          </cell>
          <cell r="O32">
            <v>1403786.1960000009</v>
          </cell>
          <cell r="P32">
            <v>26.666912753895321</v>
          </cell>
        </row>
        <row r="33">
          <cell r="B33" t="str">
            <v>237-114</v>
          </cell>
          <cell r="C33">
            <v>446.57269090343772</v>
          </cell>
          <cell r="D33">
            <v>122211</v>
          </cell>
          <cell r="E33">
            <v>54576095.128000028</v>
          </cell>
          <cell r="F33">
            <v>2.2996538773105533</v>
          </cell>
          <cell r="G33">
            <v>281043</v>
          </cell>
          <cell r="H33">
            <v>225.91</v>
          </cell>
          <cell r="I33">
            <v>27608687.009999998</v>
          </cell>
          <cell r="J33">
            <v>15.000000000000002</v>
          </cell>
          <cell r="K33">
            <v>13.05</v>
          </cell>
          <cell r="L33">
            <v>1594853.55</v>
          </cell>
          <cell r="M33">
            <v>29484583.559999999</v>
          </cell>
          <cell r="N33">
            <v>205.31303702612718</v>
          </cell>
          <cell r="O33">
            <v>25091511.56800003</v>
          </cell>
          <cell r="P33">
            <v>45.975278204040912</v>
          </cell>
        </row>
        <row r="34">
          <cell r="B34" t="str">
            <v>237-142</v>
          </cell>
          <cell r="C34">
            <v>640.79999999999995</v>
          </cell>
          <cell r="D34">
            <v>3170</v>
          </cell>
          <cell r="E34">
            <v>2031336</v>
          </cell>
          <cell r="F34">
            <v>2.3479495268138799</v>
          </cell>
          <cell r="G34">
            <v>7443</v>
          </cell>
          <cell r="H34">
            <v>348.79</v>
          </cell>
          <cell r="I34">
            <v>1105664.3</v>
          </cell>
          <cell r="J34">
            <v>20</v>
          </cell>
          <cell r="K34">
            <v>17.399999999999999</v>
          </cell>
          <cell r="L34">
            <v>55157.999999999993</v>
          </cell>
          <cell r="M34">
            <v>1168265.3</v>
          </cell>
          <cell r="N34">
            <v>272.26205047318609</v>
          </cell>
          <cell r="O34">
            <v>863070.7</v>
          </cell>
          <cell r="P34">
            <v>42.487835591945398</v>
          </cell>
        </row>
        <row r="35">
          <cell r="B35" t="str">
            <v>237A114</v>
          </cell>
          <cell r="C35">
            <v>903.31353293881773</v>
          </cell>
          <cell r="D35">
            <v>20447</v>
          </cell>
          <cell r="E35">
            <v>18470051.808000006</v>
          </cell>
          <cell r="F35">
            <v>2.5464371301413409</v>
          </cell>
          <cell r="G35">
            <v>52067</v>
          </cell>
          <cell r="H35">
            <v>422.46999999999997</v>
          </cell>
          <cell r="I35">
            <v>8638244.0899999999</v>
          </cell>
          <cell r="J35">
            <v>28</v>
          </cell>
          <cell r="K35">
            <v>24.36</v>
          </cell>
          <cell r="L35">
            <v>498088.92</v>
          </cell>
          <cell r="M35">
            <v>9188400.0099999998</v>
          </cell>
          <cell r="N35">
            <v>453.93709580867636</v>
          </cell>
          <cell r="O35">
            <v>9281651.798000006</v>
          </cell>
          <cell r="P35">
            <v>50.252440515514998</v>
          </cell>
        </row>
        <row r="36">
          <cell r="B36" t="str">
            <v>237A142</v>
          </cell>
          <cell r="C36">
            <v>833.75200000000007</v>
          </cell>
          <cell r="D36">
            <v>1823</v>
          </cell>
          <cell r="E36">
            <v>1519929.8960000002</v>
          </cell>
          <cell r="F36">
            <v>2.5244103126714208</v>
          </cell>
          <cell r="G36">
            <v>4602</v>
          </cell>
          <cell r="H36">
            <v>418.95</v>
          </cell>
          <cell r="I36">
            <v>763745.85</v>
          </cell>
          <cell r="J36">
            <v>25</v>
          </cell>
          <cell r="K36">
            <v>21.75</v>
          </cell>
          <cell r="L36">
            <v>39650.25</v>
          </cell>
          <cell r="M36">
            <v>807998.1</v>
          </cell>
          <cell r="N36">
            <v>390.52758968732871</v>
          </cell>
          <cell r="O36">
            <v>711931.79600000021</v>
          </cell>
          <cell r="P36">
            <v>46.839778457782252</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-33030630.649999999</v>
          </cell>
        </row>
        <row r="5">
          <cell r="B5" t="str">
            <v>Revenue</v>
          </cell>
          <cell r="C5" t="str">
            <v>Sales-Local (Manufactured Goods)</v>
          </cell>
          <cell r="O5">
            <v>-2606700793.4499998</v>
          </cell>
        </row>
        <row r="6">
          <cell r="B6" t="str">
            <v>Revenue</v>
          </cell>
          <cell r="C6" t="str">
            <v>Sales Consignment (Vat Suspended Export)</v>
          </cell>
          <cell r="O6">
            <v>-697376.68</v>
          </cell>
        </row>
        <row r="7">
          <cell r="B7" t="str">
            <v>Revenue</v>
          </cell>
          <cell r="C7" t="str">
            <v>Sales Manufacturing Customers</v>
          </cell>
          <cell r="O7">
            <v>-362470517.13999999</v>
          </cell>
        </row>
        <row r="8">
          <cell r="B8" t="str">
            <v>Revenue</v>
          </cell>
          <cell r="C8" t="str">
            <v>Sales Boi-(E) Customers</v>
          </cell>
          <cell r="O8">
            <v>-11660153</v>
          </cell>
        </row>
        <row r="9">
          <cell r="B9" t="str">
            <v>Revenue</v>
          </cell>
          <cell r="C9" t="str">
            <v>Sales Exempt Customers</v>
          </cell>
          <cell r="O9">
            <v>-10574279.630000001</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-6703842.9500000002</v>
          </cell>
        </row>
        <row r="14">
          <cell r="B14" t="str">
            <v>Cost of RM used</v>
          </cell>
          <cell r="C14" t="str">
            <v>Cost Of Production-Stocks</v>
          </cell>
          <cell r="O14">
            <v>1681518214.4400001</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404099846.42000002</v>
          </cell>
        </row>
        <row r="18">
          <cell r="B18" t="str">
            <v>Cost of PM used</v>
          </cell>
          <cell r="C18" t="str">
            <v>Consumption Of Labels</v>
          </cell>
          <cell r="O18">
            <v>14361609.35</v>
          </cell>
        </row>
        <row r="19">
          <cell r="B19" t="str">
            <v>Direct Labour Cost</v>
          </cell>
          <cell r="C19" t="str">
            <v>Salaries To Executives</v>
          </cell>
          <cell r="O19">
            <v>47496502.200000003</v>
          </cell>
        </row>
        <row r="20">
          <cell r="B20" t="str">
            <v>Direct Labour Cost</v>
          </cell>
          <cell r="C20" t="str">
            <v>Salaries To Staff</v>
          </cell>
          <cell r="O20">
            <v>66086205.899999999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10387957.109999999</v>
          </cell>
        </row>
        <row r="25">
          <cell r="B25" t="str">
            <v>Direct Labour Cost</v>
          </cell>
          <cell r="C25" t="str">
            <v>Company Contribution For Etf</v>
          </cell>
          <cell r="O25">
            <v>2597011.2799999998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9768596.6799999997</v>
          </cell>
        </row>
        <row r="29">
          <cell r="B29" t="str">
            <v>Direct expenses</v>
          </cell>
          <cell r="C29" t="str">
            <v>Power (Fuel)</v>
          </cell>
          <cell r="O29">
            <v>543240</v>
          </cell>
        </row>
        <row r="30">
          <cell r="B30" t="str">
            <v>Direct expenses</v>
          </cell>
          <cell r="C30" t="str">
            <v>Power (Gases)</v>
          </cell>
          <cell r="O30">
            <v>35247.279999999999</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6371938.4199999999</v>
          </cell>
        </row>
        <row r="38">
          <cell r="B38" t="str">
            <v>Manufacturing O/H</v>
          </cell>
          <cell r="C38" t="str">
            <v>Staff Training</v>
          </cell>
          <cell r="O38">
            <v>88457</v>
          </cell>
        </row>
        <row r="39">
          <cell r="B39" t="str">
            <v>Manufacturing O/H</v>
          </cell>
          <cell r="C39" t="str">
            <v>Security Charges</v>
          </cell>
          <cell r="O39">
            <v>14757237.119999999</v>
          </cell>
        </row>
        <row r="40">
          <cell r="B40" t="str">
            <v>Manufacturing O/H</v>
          </cell>
          <cell r="C40" t="str">
            <v>Travelling</v>
          </cell>
          <cell r="O40">
            <v>1338779.6100000001</v>
          </cell>
        </row>
        <row r="41">
          <cell r="B41" t="str">
            <v>Manufacturing O/H</v>
          </cell>
          <cell r="C41" t="str">
            <v>Vehicle Running Expenses</v>
          </cell>
          <cell r="O41">
            <v>1096997.6000000001</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6879942.9400000004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64879390.950000003</v>
          </cell>
        </row>
        <row r="54">
          <cell r="B54" t="str">
            <v>Distribution expenses</v>
          </cell>
          <cell r="C54" t="str">
            <v>Commission On Consignment Sales</v>
          </cell>
          <cell r="O54">
            <v>136272759.81999999</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86813619.280000001</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148088647.22999999</v>
          </cell>
        </row>
        <row r="62">
          <cell r="B62" t="str">
            <v>Financing Costs</v>
          </cell>
          <cell r="C62" t="str">
            <v>Interest On Loans</v>
          </cell>
          <cell r="O62">
            <v>53161932.82</v>
          </cell>
        </row>
        <row r="63">
          <cell r="B63" t="str">
            <v>Financing Costs</v>
          </cell>
          <cell r="C63" t="str">
            <v>Interest On Loan Returnable</v>
          </cell>
          <cell r="O63">
            <v>6603630.8099999996</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8304376.4800000004</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52496191.280000001</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12412780.060000001</v>
          </cell>
        </row>
        <row r="81">
          <cell r="B81" t="str">
            <v>Administration expenses</v>
          </cell>
          <cell r="C81" t="str">
            <v>Vehicle Running Expenses</v>
          </cell>
          <cell r="O81">
            <v>2555394.1800000002</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6829776.8600000003</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17840973.850000001</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11294517.859999999</v>
          </cell>
        </row>
        <row r="101">
          <cell r="B101" t="str">
            <v>Administration expenses</v>
          </cell>
          <cell r="C101" t="str">
            <v>Gifts</v>
          </cell>
          <cell r="O101">
            <v>2500</v>
          </cell>
        </row>
        <row r="102">
          <cell r="B102" t="str">
            <v>Other income</v>
          </cell>
          <cell r="C102" t="str">
            <v>Income-Dividend</v>
          </cell>
          <cell r="O102">
            <v>-77726337.950000003</v>
          </cell>
        </row>
        <row r="103">
          <cell r="B103" t="str">
            <v>Other income</v>
          </cell>
          <cell r="C103" t="str">
            <v>Investment Trading - Quoted Shares</v>
          </cell>
          <cell r="O103">
            <v>-513341247.38</v>
          </cell>
        </row>
        <row r="104">
          <cell r="B104" t="str">
            <v>Other income</v>
          </cell>
          <cell r="C104" t="str">
            <v>Sale Of Fixed Assets</v>
          </cell>
          <cell r="O104">
            <v>-5977082.0999999996</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-1603032573.5999999</v>
          </cell>
        </row>
        <row r="109">
          <cell r="B109" t="str">
            <v>Equity</v>
          </cell>
          <cell r="C109" t="str">
            <v>Reserves - Capital</v>
          </cell>
          <cell r="O109">
            <v>-3482228.44</v>
          </cell>
        </row>
        <row r="110">
          <cell r="B110" t="str">
            <v>Equity</v>
          </cell>
          <cell r="C110" t="str">
            <v>Reserves - Revaluation</v>
          </cell>
          <cell r="O110">
            <v>-373499642.91000003</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75000906.189999998</v>
          </cell>
        </row>
        <row r="114">
          <cell r="B114" t="str">
            <v>Property Plant &amp; Equipment</v>
          </cell>
          <cell r="C114" t="str">
            <v>Fixed Assets - Cycles</v>
          </cell>
          <cell r="O114">
            <v>2</v>
          </cell>
        </row>
        <row r="115">
          <cell r="B115" t="str">
            <v>Property Plant &amp; Equipment</v>
          </cell>
          <cell r="C115" t="str">
            <v>Fixed Assets - Motor Cycles</v>
          </cell>
          <cell r="O115">
            <v>38836.120000000003</v>
          </cell>
        </row>
        <row r="116">
          <cell r="B116" t="str">
            <v>Property Plant &amp; Equipment</v>
          </cell>
          <cell r="C116" t="str">
            <v>Fixed Assets - Cars</v>
          </cell>
          <cell r="O116">
            <v>39327206.210000001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 xml:space="preserve">Long Term Investments </v>
          </cell>
          <cell r="C127" t="str">
            <v>Investments (In Non Quoted Companies).</v>
          </cell>
          <cell r="O127">
            <v>26030800</v>
          </cell>
        </row>
        <row r="128">
          <cell r="B128" t="str">
            <v xml:space="preserve">Long Term Investments </v>
          </cell>
          <cell r="C128" t="str">
            <v>Investments (In Quoted Companies)</v>
          </cell>
          <cell r="O128">
            <v>3870126475.4200001</v>
          </cell>
        </row>
        <row r="129">
          <cell r="B129" t="str">
            <v xml:space="preserve">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34673542.950000003</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-82959568.659999996</v>
          </cell>
        </row>
        <row r="144">
          <cell r="B144" t="str">
            <v>Inventories</v>
          </cell>
          <cell r="C144" t="str">
            <v>Work In Progress</v>
          </cell>
          <cell r="O144">
            <v>22454938.25</v>
          </cell>
        </row>
        <row r="145">
          <cell r="B145" t="str">
            <v>Trade receivables</v>
          </cell>
          <cell r="C145" t="str">
            <v>Debtors-Trade (Local)</v>
          </cell>
          <cell r="O145">
            <v>460018142.20999998</v>
          </cell>
        </row>
        <row r="146">
          <cell r="B146" t="str">
            <v>Trade receivables</v>
          </cell>
          <cell r="C146" t="str">
            <v>Debtors-Trade (Consignment)</v>
          </cell>
          <cell r="O146">
            <v>71432177.140000001</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-215683330.06999999</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-14989497.619999999</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-13894227.699999999</v>
          </cell>
        </row>
        <row r="166">
          <cell r="B166" t="str">
            <v>Accruals &amp; Other Payables</v>
          </cell>
          <cell r="C166" t="str">
            <v>Nation Building Tax Control Account</v>
          </cell>
          <cell r="O166">
            <v>-6174356.7999999998</v>
          </cell>
        </row>
        <row r="167">
          <cell r="B167" t="str">
            <v>Accruals &amp; Other Payables</v>
          </cell>
          <cell r="C167" t="str">
            <v>Excise Duty Payable Control A/C</v>
          </cell>
          <cell r="O167">
            <v>-32375954.539999999</v>
          </cell>
        </row>
        <row r="168">
          <cell r="B168" t="str">
            <v>Accruals &amp; Other Payables</v>
          </cell>
          <cell r="C168" t="str">
            <v>Loans-Returnable</v>
          </cell>
          <cell r="O168">
            <v>-52183461.810000002</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-319373964.55000001</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-88774225.579999998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49953733.030000001</v>
          </cell>
        </row>
        <row r="182">
          <cell r="B182" t="str">
            <v>Cash &amp; Cash Equivalents</v>
          </cell>
          <cell r="C182" t="str">
            <v>Bank - Scb - Dte 01-3298817-02</v>
          </cell>
          <cell r="O182">
            <v>3055.65</v>
          </cell>
        </row>
        <row r="183">
          <cell r="B183" t="str">
            <v>Bank Overdraft</v>
          </cell>
          <cell r="C183" t="str">
            <v>Hatton National Bank - Green Path</v>
          </cell>
          <cell r="O183">
            <v>-1366484963.8699999</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29399.279999999999</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66412.399999999994</v>
          </cell>
          <cell r="D39">
            <v>37986</v>
          </cell>
          <cell r="F39">
            <v>66412.399999999994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79441.399999999994</v>
          </cell>
          <cell r="D61">
            <v>37986</v>
          </cell>
          <cell r="F61">
            <v>79441.399999999994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41863.699999999997</v>
          </cell>
          <cell r="D65">
            <v>37986</v>
          </cell>
          <cell r="F65">
            <v>41863.699999999997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555.30999999999995</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29440.400000000001</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83344.800000000003</v>
          </cell>
          <cell r="D98" t="str">
            <v>Accounts</v>
          </cell>
        </row>
        <row r="99">
          <cell r="B99" t="str">
            <v>I064145</v>
          </cell>
          <cell r="C99">
            <v>35326.980000000003</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8784083.6399999987</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EX"/>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-47089.031719999999</v>
          </cell>
        </row>
        <row r="3">
          <cell r="B3" t="str">
            <v>SALES-LOCAL (MANUFACTURED GOODS)</v>
          </cell>
          <cell r="C3">
            <v>-2867398.4908099999</v>
          </cell>
        </row>
        <row r="4">
          <cell r="B4" t="str">
            <v>SALES MANUFACTURING CUSTOMERS</v>
          </cell>
          <cell r="C4">
            <v>-337855.23800999997</v>
          </cell>
        </row>
        <row r="5">
          <cell r="B5" t="str">
            <v>SALES BOI-(E) CUSTOMERS</v>
          </cell>
          <cell r="C5">
            <v>-60804.482750000003</v>
          </cell>
        </row>
        <row r="6">
          <cell r="B6" t="str">
            <v>SALES EXEMPT CUSTOMERS</v>
          </cell>
          <cell r="C6">
            <v>-770.51485000000002</v>
          </cell>
        </row>
        <row r="7">
          <cell r="B7" t="str">
            <v>SALES EXPORT INDIRECT</v>
          </cell>
          <cell r="C7">
            <v>-68749.285000000003</v>
          </cell>
        </row>
        <row r="8">
          <cell r="B8" t="str">
            <v>SALES-SCRAP</v>
          </cell>
          <cell r="C8">
            <v>-9461.9171600000009</v>
          </cell>
        </row>
        <row r="9">
          <cell r="B9" t="str">
            <v>INCOME-CALL CHARGES</v>
          </cell>
          <cell r="C9">
            <v>-3636.7629100000004</v>
          </cell>
        </row>
        <row r="10">
          <cell r="B10" t="str">
            <v>INCOME-OTHERS</v>
          </cell>
          <cell r="C10">
            <v>-9695.27477</v>
          </cell>
        </row>
        <row r="11">
          <cell r="B11" t="str">
            <v>COST OF PRODUCTION-STOCKS</v>
          </cell>
          <cell r="C11">
            <v>1869309.73563</v>
          </cell>
        </row>
        <row r="12">
          <cell r="B12" t="str">
            <v>MOVEMENT IN WORK IN PROGRESS</v>
          </cell>
          <cell r="C12">
            <v>4534.5118900000016</v>
          </cell>
        </row>
        <row r="13">
          <cell r="B13" t="str">
            <v>MOVEMENT IN FINISHED GOODS</v>
          </cell>
          <cell r="C13">
            <v>-16591.008884595896</v>
          </cell>
        </row>
        <row r="14">
          <cell r="B14" t="str">
            <v>CONSUMPTION OF CONTAINERS</v>
          </cell>
          <cell r="C14">
            <v>406323.46487000003</v>
          </cell>
        </row>
        <row r="15">
          <cell r="B15" t="str">
            <v>CONSUMPTION OF LABELS</v>
          </cell>
          <cell r="C15">
            <v>16286.303</v>
          </cell>
        </row>
        <row r="16">
          <cell r="B16" t="str">
            <v>SALARIES TO EXECUTIVES</v>
          </cell>
          <cell r="C16">
            <v>40644.949000000001</v>
          </cell>
        </row>
        <row r="17">
          <cell r="B17" t="str">
            <v>SALARIES TO STAFF</v>
          </cell>
          <cell r="C17">
            <v>80392.828080000007</v>
          </cell>
        </row>
        <row r="18">
          <cell r="B18" t="str">
            <v>WAGES</v>
          </cell>
          <cell r="C18">
            <v>2243.7438199999997</v>
          </cell>
        </row>
        <row r="19">
          <cell r="B19" t="str">
            <v>WAGES-CASUAL</v>
          </cell>
          <cell r="C19">
            <v>2180.3470000000002</v>
          </cell>
        </row>
        <row r="20">
          <cell r="B20" t="str">
            <v>WAGES-CONTRACT</v>
          </cell>
          <cell r="C20">
            <v>628.16382999999996</v>
          </cell>
        </row>
        <row r="21">
          <cell r="B21" t="str">
            <v>COMPANY CONTRIBUTION FOR EPF</v>
          </cell>
          <cell r="C21">
            <v>9446.1417600000004</v>
          </cell>
        </row>
        <row r="22">
          <cell r="B22" t="str">
            <v>COMPANY CONTRIBUTION FOR ETF</v>
          </cell>
          <cell r="C22">
            <v>2361.55618</v>
          </cell>
        </row>
        <row r="23">
          <cell r="B23" t="str">
            <v>TRANSPORT CHARGES</v>
          </cell>
          <cell r="C23">
            <v>71502.069659999994</v>
          </cell>
        </row>
        <row r="24">
          <cell r="B24" t="str">
            <v>POWER (ELECTRICITY)</v>
          </cell>
          <cell r="C24">
            <v>12924.68663</v>
          </cell>
        </row>
        <row r="25">
          <cell r="B25" t="str">
            <v>POWER (FUEL)</v>
          </cell>
          <cell r="C25">
            <v>1174.8150000000001</v>
          </cell>
        </row>
        <row r="26">
          <cell r="B26" t="str">
            <v>POWER (GASES)</v>
          </cell>
          <cell r="C26">
            <v>47.409179999999999</v>
          </cell>
        </row>
        <row r="27">
          <cell r="B27" t="str">
            <v>SPARES AND ACCESSORIES.</v>
          </cell>
          <cell r="C27">
            <v>0</v>
          </cell>
        </row>
        <row r="28">
          <cell r="B28" t="str">
            <v>FIRE FIGHTING MAINTENANCE.</v>
          </cell>
          <cell r="C28">
            <v>663.27650000000006</v>
          </cell>
        </row>
        <row r="29">
          <cell r="B29" t="str">
            <v>STATIONARY.</v>
          </cell>
          <cell r="C29">
            <v>580.07461999999998</v>
          </cell>
        </row>
        <row r="30">
          <cell r="B30" t="str">
            <v>COMPUTER CONSUMABLES.</v>
          </cell>
          <cell r="C30">
            <v>4.6500000000000004</v>
          </cell>
        </row>
        <row r="31">
          <cell r="B31" t="str">
            <v>SAFETY EQUIPMENT.</v>
          </cell>
          <cell r="C31">
            <v>1194.6677500000001</v>
          </cell>
        </row>
        <row r="32">
          <cell r="B32" t="str">
            <v>SAMPLE EXPENSES.</v>
          </cell>
          <cell r="C32">
            <v>932.85599999999999</v>
          </cell>
        </row>
        <row r="33">
          <cell r="B33" t="str">
            <v>MEDICAL EXPENSES.</v>
          </cell>
          <cell r="C33">
            <v>3546.35565</v>
          </cell>
        </row>
        <row r="34">
          <cell r="B34" t="str">
            <v>STAFF WELFARE.</v>
          </cell>
          <cell r="C34">
            <v>7068.5047999999997</v>
          </cell>
        </row>
        <row r="35">
          <cell r="B35" t="str">
            <v>STAFF TRAINING.</v>
          </cell>
          <cell r="C35">
            <v>534.58964000000003</v>
          </cell>
        </row>
        <row r="36">
          <cell r="B36" t="str">
            <v>SECURITY CHARGES.</v>
          </cell>
          <cell r="C36">
            <v>12542.45989</v>
          </cell>
        </row>
        <row r="37">
          <cell r="B37" t="str">
            <v>TRAVELLING.</v>
          </cell>
          <cell r="C37">
            <v>1457.365</v>
          </cell>
        </row>
        <row r="38">
          <cell r="B38" t="str">
            <v>DEPRECIATION.</v>
          </cell>
          <cell r="C38">
            <v>21471.319680000001</v>
          </cell>
        </row>
        <row r="39">
          <cell r="B39" t="str">
            <v>FACTORY BUILDING MAINTANENCE.</v>
          </cell>
          <cell r="C39">
            <v>4450.0226500000008</v>
          </cell>
        </row>
        <row r="40">
          <cell r="B40" t="str">
            <v>MACHINERY MAINTANENCE.</v>
          </cell>
          <cell r="C40">
            <v>9635.1686399999999</v>
          </cell>
        </row>
        <row r="41">
          <cell r="B41" t="str">
            <v>EQUIPMENT MAINTENANCE.</v>
          </cell>
          <cell r="C41">
            <v>122.125</v>
          </cell>
        </row>
        <row r="42">
          <cell r="B42" t="str">
            <v>BUILDING MAINTENANCE.</v>
          </cell>
          <cell r="C42">
            <v>905.38877000000002</v>
          </cell>
        </row>
        <row r="43">
          <cell r="B43" t="str">
            <v>VEHICAL MAINTANENCE.</v>
          </cell>
          <cell r="C43">
            <v>3930.6142</v>
          </cell>
        </row>
        <row r="44">
          <cell r="B44" t="str">
            <v>WATER CHARGES.</v>
          </cell>
          <cell r="C44">
            <v>922.16498000000001</v>
          </cell>
        </row>
        <row r="45">
          <cell r="B45" t="str">
            <v>RATES.</v>
          </cell>
          <cell r="C45">
            <v>-980.03075000000001</v>
          </cell>
        </row>
        <row r="46">
          <cell r="B46" t="str">
            <v>TELEPHONE EXPENSES.</v>
          </cell>
          <cell r="C46">
            <v>2321.4727400000002</v>
          </cell>
        </row>
        <row r="47">
          <cell r="B47" t="str">
            <v>POSTAGE.</v>
          </cell>
          <cell r="C47">
            <v>2.5960000000000001</v>
          </cell>
        </row>
        <row r="48">
          <cell r="B48" t="str">
            <v>INSURANCE.</v>
          </cell>
          <cell r="C48">
            <v>7776.8487999999998</v>
          </cell>
        </row>
        <row r="49">
          <cell r="B49" t="str">
            <v>RENT.</v>
          </cell>
          <cell r="C49">
            <v>66630.811579999994</v>
          </cell>
        </row>
        <row r="50">
          <cell r="B50" t="str">
            <v>TECHNICAL SERVICE FEES.</v>
          </cell>
          <cell r="C50">
            <v>28967.00765</v>
          </cell>
        </row>
        <row r="51">
          <cell r="B51" t="str">
            <v>COMMISSION ON CONSIGNMENT SALES</v>
          </cell>
          <cell r="C51">
            <v>130602.00764</v>
          </cell>
        </row>
        <row r="52">
          <cell r="B52" t="str">
            <v>SALES PROMOTION</v>
          </cell>
          <cell r="C52">
            <v>1157.8945000000001</v>
          </cell>
        </row>
        <row r="53">
          <cell r="B53" t="str">
            <v>ADVERTISEMENT</v>
          </cell>
          <cell r="C53">
            <v>56.369570000000003</v>
          </cell>
        </row>
        <row r="54">
          <cell r="B54" t="str">
            <v>NATION BUILDING TAX</v>
          </cell>
          <cell r="C54">
            <v>5430.4578099999999</v>
          </cell>
        </row>
        <row r="55">
          <cell r="B55" t="str">
            <v>FOREIGN CURRENCY GAIN OR LOSS</v>
          </cell>
          <cell r="C55">
            <v>0</v>
          </cell>
        </row>
        <row r="56">
          <cell r="B56" t="str">
            <v>STAMP DUTY</v>
          </cell>
          <cell r="C56">
            <v>804.67499999999995</v>
          </cell>
        </row>
        <row r="57">
          <cell r="B57" t="str">
            <v>DEBIT TAX</v>
          </cell>
          <cell r="C57">
            <v>6306.9898200000007</v>
          </cell>
        </row>
        <row r="58">
          <cell r="B58" t="str">
            <v>BANK CHARGES</v>
          </cell>
          <cell r="C58">
            <v>486.46753000000001</v>
          </cell>
        </row>
        <row r="59">
          <cell r="B59" t="str">
            <v>INTEREST ON BILLS</v>
          </cell>
          <cell r="C59">
            <v>18945.98155</v>
          </cell>
        </row>
        <row r="60">
          <cell r="B60" t="str">
            <v>INTEREST ON O/D</v>
          </cell>
          <cell r="C60">
            <v>98047.513849999988</v>
          </cell>
        </row>
        <row r="61">
          <cell r="B61" t="str">
            <v>INTEREST ON LOANS</v>
          </cell>
          <cell r="C61">
            <v>152674.88144</v>
          </cell>
        </row>
        <row r="62">
          <cell r="B62" t="str">
            <v>INTEREST ON LOAN RETURNABLE</v>
          </cell>
          <cell r="C62">
            <v>10163.95881</v>
          </cell>
        </row>
        <row r="63">
          <cell r="B63" t="str">
            <v>FOREIGN CURRENCY GAIN/LOSS ACCOUNT</v>
          </cell>
          <cell r="C63">
            <v>17348.474269999999</v>
          </cell>
        </row>
        <row r="64">
          <cell r="B64" t="str">
            <v>ENTERTAINMENT</v>
          </cell>
          <cell r="C64">
            <v>3643.5221299999998</v>
          </cell>
        </row>
        <row r="65">
          <cell r="B65" t="str">
            <v>GENERAL EXPENSES</v>
          </cell>
          <cell r="C65">
            <v>39.980230000000006</v>
          </cell>
        </row>
        <row r="66">
          <cell r="B66" t="str">
            <v>LICENCE &amp; REGISTRATION</v>
          </cell>
          <cell r="C66">
            <v>105.75</v>
          </cell>
        </row>
        <row r="67">
          <cell r="B67" t="str">
            <v>STATIONARY</v>
          </cell>
          <cell r="C67">
            <v>787.26604000000009</v>
          </cell>
        </row>
        <row r="68">
          <cell r="B68" t="str">
            <v>COMPUTER CONSUMABLES</v>
          </cell>
          <cell r="C68">
            <v>275.10253</v>
          </cell>
        </row>
        <row r="69">
          <cell r="B69" t="str">
            <v>SALARIES TO EXECUTIVES.</v>
          </cell>
          <cell r="C69">
            <v>51960.71</v>
          </cell>
        </row>
        <row r="70">
          <cell r="B70" t="str">
            <v>SALARIES TO STAFF.</v>
          </cell>
          <cell r="C70">
            <v>3601.7201599999999</v>
          </cell>
        </row>
        <row r="71">
          <cell r="B71" t="str">
            <v>COMPANY CONTRIBUTION FOR EPF.</v>
          </cell>
          <cell r="C71">
            <v>4882.6739400000006</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8987.7560399999984</v>
          </cell>
        </row>
        <row r="79">
          <cell r="B79" t="str">
            <v>VEHICLE RUNNING EXPENSES</v>
          </cell>
          <cell r="C79">
            <v>2788.6576800000003</v>
          </cell>
        </row>
        <row r="80">
          <cell r="B80" t="str">
            <v>DEPRECIATION</v>
          </cell>
          <cell r="C80">
            <v>21604.036780000002</v>
          </cell>
        </row>
        <row r="81">
          <cell r="B81" t="str">
            <v>EQUIPMENT MAINTENANCE</v>
          </cell>
          <cell r="C81">
            <v>1116.61663</v>
          </cell>
        </row>
        <row r="82">
          <cell r="B82" t="str">
            <v>OFFICE MAINTENANCE</v>
          </cell>
          <cell r="C82">
            <v>4279.8368600000003</v>
          </cell>
        </row>
        <row r="83">
          <cell r="B83" t="str">
            <v>VEHICAL MAINTANENCE</v>
          </cell>
          <cell r="C83">
            <v>10990.599259999999</v>
          </cell>
        </row>
        <row r="84">
          <cell r="B84" t="str">
            <v>TELEPHONE EXPENSES</v>
          </cell>
          <cell r="C84">
            <v>6051.2035099999994</v>
          </cell>
        </row>
        <row r="85">
          <cell r="B85" t="str">
            <v>POSTAGE</v>
          </cell>
          <cell r="C85">
            <v>97.196690000000004</v>
          </cell>
        </row>
        <row r="86">
          <cell r="B86" t="str">
            <v>INCOME TAX</v>
          </cell>
          <cell r="C86">
            <v>68425.477960000004</v>
          </cell>
        </row>
        <row r="87">
          <cell r="B87" t="str">
            <v>INSURANCE</v>
          </cell>
          <cell r="C87">
            <v>4262.3542200000002</v>
          </cell>
        </row>
        <row r="88">
          <cell r="B88" t="str">
            <v>RENT</v>
          </cell>
          <cell r="C88">
            <v>19872.666000000001</v>
          </cell>
        </row>
        <row r="89">
          <cell r="B89" t="str">
            <v>15% PREFERENCE DIVIDEND</v>
          </cell>
          <cell r="C89">
            <v>451.5</v>
          </cell>
        </row>
        <row r="90">
          <cell r="B90" t="str">
            <v>AUDITORS FEES</v>
          </cell>
          <cell r="C90">
            <v>427.43200000000002</v>
          </cell>
        </row>
        <row r="91">
          <cell r="B91" t="str">
            <v>CONSULTANCY/PROFESSIONAL FEES</v>
          </cell>
          <cell r="C91">
            <v>1451.854</v>
          </cell>
        </row>
        <row r="92">
          <cell r="B92" t="str">
            <v>MANAGEMENT  FEES</v>
          </cell>
          <cell r="C92">
            <v>19846.87314</v>
          </cell>
        </row>
        <row r="93">
          <cell r="B93" t="str">
            <v>SECRETARIAL  FEES</v>
          </cell>
          <cell r="C93">
            <v>96.490200000000002</v>
          </cell>
        </row>
        <row r="94">
          <cell r="B94" t="str">
            <v>LEGAL FEES</v>
          </cell>
          <cell r="C94">
            <v>94.976649999999992</v>
          </cell>
        </row>
        <row r="95">
          <cell r="B95" t="str">
            <v>MAGAZINE SUBSCRIPTIONS</v>
          </cell>
          <cell r="C95">
            <v>91.114539999999991</v>
          </cell>
        </row>
        <row r="96">
          <cell r="B96" t="str">
            <v>SUBSCRIPTIONS IN ORGANIZATION</v>
          </cell>
          <cell r="C96">
            <v>351.91985</v>
          </cell>
        </row>
        <row r="97">
          <cell r="B97" t="str">
            <v>DONATIONS</v>
          </cell>
          <cell r="C97">
            <v>2487.4256500000001</v>
          </cell>
        </row>
        <row r="98">
          <cell r="B98" t="str">
            <v>GIFTS</v>
          </cell>
          <cell r="C98">
            <v>1.5</v>
          </cell>
        </row>
        <row r="99">
          <cell r="B99" t="str">
            <v>INCOME-DIVIDEND</v>
          </cell>
          <cell r="C99">
            <v>-85802.232550000001</v>
          </cell>
        </row>
        <row r="100">
          <cell r="B100" t="str">
            <v>INCOME SUNDRY</v>
          </cell>
          <cell r="C100">
            <v>-7519.63519</v>
          </cell>
        </row>
        <row r="101">
          <cell r="B101" t="str">
            <v>INVESTMENT TRADING - QUOTED SHARES</v>
          </cell>
          <cell r="C101">
            <v>542858.43878999993</v>
          </cell>
        </row>
        <row r="102">
          <cell r="B102" t="str">
            <v>SALE OF FIXED ASSETS</v>
          </cell>
          <cell r="C102">
            <v>-9611.1556700000001</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-3482.2284399999999</v>
          </cell>
        </row>
        <row r="108">
          <cell r="B108" t="str">
            <v>RESERVES - REVALUATION</v>
          </cell>
          <cell r="C108">
            <v>-373499.64291000005</v>
          </cell>
        </row>
        <row r="109">
          <cell r="B109" t="str">
            <v>FIXED ASSETS - LAND</v>
          </cell>
          <cell r="C109">
            <v>380833.21899999998</v>
          </cell>
        </row>
        <row r="110">
          <cell r="B110" t="str">
            <v>FIXED ASSETS - BUILDINGS (NEW)</v>
          </cell>
          <cell r="C110">
            <v>36211.155549999996</v>
          </cell>
        </row>
        <row r="111">
          <cell r="B111" t="str">
            <v>FIXED ASSETS - PLANT &amp; MACHINERY</v>
          </cell>
          <cell r="C111">
            <v>49982.842149999997</v>
          </cell>
        </row>
        <row r="112">
          <cell r="B112" t="str">
            <v>FIXED ASSETS - CYCLES</v>
          </cell>
          <cell r="C112">
            <v>2E-3</v>
          </cell>
        </row>
        <row r="113">
          <cell r="B113" t="str">
            <v>FIXED ASSETS - MOTOR CYCLES</v>
          </cell>
          <cell r="C113">
            <v>99.757360000000006</v>
          </cell>
        </row>
        <row r="114">
          <cell r="B114" t="str">
            <v>FIXED ASSETS - CARS</v>
          </cell>
          <cell r="C114">
            <v>33184.706980000003</v>
          </cell>
        </row>
        <row r="115">
          <cell r="B115" t="str">
            <v>FIXED ASSETS - VANS</v>
          </cell>
          <cell r="C115">
            <v>48.344749999999998</v>
          </cell>
        </row>
        <row r="116">
          <cell r="B116" t="str">
            <v>FIXED ASSETS - LORRYS</v>
          </cell>
          <cell r="C116">
            <v>4.0000000000000001E-3</v>
          </cell>
        </row>
        <row r="117">
          <cell r="B117" t="str">
            <v>FIXED ASSETS - EQUIPMENT</v>
          </cell>
          <cell r="C117">
            <v>576.78101000000004</v>
          </cell>
        </row>
        <row r="118">
          <cell r="B118" t="str">
            <v>FIXED ASSETS-EQUIPMENT AT FACTORY OFFICE</v>
          </cell>
          <cell r="C118">
            <v>447.21942999999999</v>
          </cell>
        </row>
        <row r="119">
          <cell r="B119" t="str">
            <v>FIXED ASSETS-LAB EQUIPMENT</v>
          </cell>
          <cell r="C119">
            <v>32.543750000000003</v>
          </cell>
        </row>
        <row r="120">
          <cell r="B120" t="str">
            <v>FIXED ASSETS - TOOLS</v>
          </cell>
          <cell r="C120">
            <v>51.240459999999999</v>
          </cell>
        </row>
        <row r="121">
          <cell r="B121" t="str">
            <v>FIXED ASSETS - FURNITURE</v>
          </cell>
          <cell r="C121">
            <v>2177.3780099999999</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26030.799999999999</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312.10000000000002</v>
          </cell>
        </row>
        <row r="132">
          <cell r="B132" t="str">
            <v>RECIEVABLES - INSUARANCE CLAIM</v>
          </cell>
          <cell r="C132">
            <v>434.79854999999998</v>
          </cell>
        </row>
        <row r="133">
          <cell r="B133" t="str">
            <v>PREPAYMENTS</v>
          </cell>
          <cell r="C133">
            <v>2341.3594500000004</v>
          </cell>
        </row>
        <row r="134">
          <cell r="B134" t="str">
            <v>DEPOSITS - INVESTMENT SHORT TERM</v>
          </cell>
          <cell r="C134">
            <v>8.0000000000000004E-4</v>
          </cell>
        </row>
        <row r="135">
          <cell r="B135" t="str">
            <v>CONTROL ACCOUNT-PETTY CASH</v>
          </cell>
          <cell r="C135">
            <v>548.34285999999997</v>
          </cell>
        </row>
        <row r="136">
          <cell r="B136" t="str">
            <v>CONTROL ACCOUNT-WHARF FLOAT</v>
          </cell>
          <cell r="C136">
            <v>750.48547999999994</v>
          </cell>
        </row>
        <row r="137">
          <cell r="B137" t="str">
            <v>STOCKS - RAW MATERIALS</v>
          </cell>
          <cell r="C137">
            <v>358686.571</v>
          </cell>
        </row>
        <row r="138">
          <cell r="B138" t="str">
            <v>STOCKS - PACKING MATERIAL (CONTAINERS)</v>
          </cell>
          <cell r="C138">
            <v>69733.794999999998</v>
          </cell>
        </row>
        <row r="139">
          <cell r="B139" t="str">
            <v>STOCKS - PACKING MATERIAL (LABELS)</v>
          </cell>
          <cell r="C139">
            <v>5846.8654999999999</v>
          </cell>
        </row>
        <row r="140">
          <cell r="B140" t="str">
            <v>STOCKS-FINISHED  GOODS</v>
          </cell>
          <cell r="C140">
            <v>110444.66688459589</v>
          </cell>
        </row>
        <row r="141">
          <cell r="B141" t="str">
            <v>GOODS IN TRANSIT</v>
          </cell>
          <cell r="C141">
            <v>-51401.140509999997</v>
          </cell>
        </row>
        <row r="142">
          <cell r="B142" t="str">
            <v>WORK IN PROGRESS</v>
          </cell>
          <cell r="C142">
            <v>14255.233</v>
          </cell>
        </row>
        <row r="143">
          <cell r="B143" t="str">
            <v>DEBTORS-TRADE (LOCAL)</v>
          </cell>
          <cell r="C143">
            <v>286133.48480999999</v>
          </cell>
        </row>
        <row r="144">
          <cell r="B144" t="str">
            <v>DEBTORS-TRADE (CONSIGNMENT)</v>
          </cell>
          <cell r="C144">
            <v>67497.277950000003</v>
          </cell>
        </row>
        <row r="145">
          <cell r="B145" t="str">
            <v>DEBTORS-SUNDRY</v>
          </cell>
          <cell r="C145">
            <v>2043.3818899999999</v>
          </cell>
        </row>
        <row r="146">
          <cell r="B146" t="str">
            <v>LOANS TO STAFF</v>
          </cell>
          <cell r="C146">
            <v>2081.79585</v>
          </cell>
        </row>
        <row r="147">
          <cell r="B147" t="str">
            <v>LOANS TO EXECUTIVE STAFF</v>
          </cell>
          <cell r="C147">
            <v>12762.6191</v>
          </cell>
        </row>
        <row r="148">
          <cell r="B148" t="str">
            <v>LOANS-IRRECOVERABLE</v>
          </cell>
          <cell r="C148">
            <v>78.900000000000006</v>
          </cell>
        </row>
        <row r="149">
          <cell r="B149" t="str">
            <v>CURRENT ACCOUNT</v>
          </cell>
          <cell r="C149">
            <v>711870.01035999996</v>
          </cell>
        </row>
        <row r="150">
          <cell r="B150" t="str">
            <v>BANK-COMMERCIAL BANK (RS A/C)</v>
          </cell>
          <cell r="C150">
            <v>2959.8758700000003</v>
          </cell>
        </row>
        <row r="151">
          <cell r="B151" t="str">
            <v>COMMERCIAL BANK - IMPORTS 1030009529</v>
          </cell>
          <cell r="C151">
            <v>-1.7260000000000001E-2</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-6859.2332500000002</v>
          </cell>
        </row>
        <row r="156">
          <cell r="B156" t="str">
            <v>BANK-BANK OF CEYLON (RS AC-LAKE VIEW)</v>
          </cell>
          <cell r="C156">
            <v>1144.3100400000001</v>
          </cell>
        </row>
        <row r="157">
          <cell r="B157" t="str">
            <v>PAN ASIA BANK</v>
          </cell>
          <cell r="C157">
            <v>0.15</v>
          </cell>
        </row>
        <row r="158">
          <cell r="B158" t="str">
            <v>BANK OF CEYLON-LAKEVIEW NO.2 A/C</v>
          </cell>
          <cell r="C158">
            <v>70.321610000000007</v>
          </cell>
        </row>
        <row r="159">
          <cell r="B159" t="str">
            <v>HONG KONG &amp; CHANGHAI BANK 001131036001</v>
          </cell>
          <cell r="C159">
            <v>318.96069</v>
          </cell>
        </row>
        <row r="160">
          <cell r="B160" t="str">
            <v>SEYLAN BANK - H/O - 03-0090366-001</v>
          </cell>
          <cell r="C160">
            <v>62.088320000000003</v>
          </cell>
        </row>
        <row r="161">
          <cell r="B161" t="str">
            <v>COMMERCIAL BANK - DTEA</v>
          </cell>
          <cell r="C161">
            <v>6.4095300000000002</v>
          </cell>
        </row>
        <row r="162">
          <cell r="B162" t="str">
            <v>UNCLASSIFIED TRANSACTIONS</v>
          </cell>
          <cell r="C162">
            <v>-0.36707999999999996</v>
          </cell>
        </row>
        <row r="163">
          <cell r="B163" t="str">
            <v>VALUE ADDED TAX (VAT) CONTROL A/C</v>
          </cell>
          <cell r="C163">
            <v>4654.9576799999995</v>
          </cell>
        </row>
        <row r="164">
          <cell r="B164" t="str">
            <v>NATION BUILDING TAX CONTROL ACCOUNT</v>
          </cell>
          <cell r="C164">
            <v>-1119.89507</v>
          </cell>
        </row>
        <row r="165">
          <cell r="B165" t="str">
            <v>EXCISE DUTY PAYABLE CONTROL A/C</v>
          </cell>
          <cell r="C165">
            <v>-28605.856670000001</v>
          </cell>
        </row>
        <row r="166">
          <cell r="B166" t="str">
            <v>LOANS-RETURNABLE</v>
          </cell>
          <cell r="C166">
            <v>-60598.909049999995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-297184.97704999999</v>
          </cell>
        </row>
        <row r="171">
          <cell r="B171" t="str">
            <v>PAYABLES-BILLS</v>
          </cell>
          <cell r="C171">
            <v>-8.0000000000000004E-4</v>
          </cell>
        </row>
        <row r="172">
          <cell r="B172" t="str">
            <v>CONTROL ACCOUNT-WAGES</v>
          </cell>
          <cell r="C172">
            <v>50.744330000000005</v>
          </cell>
        </row>
        <row r="173">
          <cell r="B173" t="str">
            <v>CONTROL ACCOUNT-SALARIES</v>
          </cell>
          <cell r="C173">
            <v>-25.245999999999999</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-49587.036390000001</v>
          </cell>
        </row>
        <row r="178">
          <cell r="B178" t="str">
            <v>WITHHOLDING TAX PAYABLE ON SERVICES</v>
          </cell>
          <cell r="C178">
            <v>-101.75647000000001</v>
          </cell>
        </row>
        <row r="179">
          <cell r="B179" t="str">
            <v>INTER COMPANIES</v>
          </cell>
          <cell r="C179">
            <v>-8215.0284900000006</v>
          </cell>
        </row>
        <row r="180">
          <cell r="B180" t="str">
            <v>BANK - STANDARD CHARTERED BANK</v>
          </cell>
          <cell r="C180">
            <v>-3343.7384300000003</v>
          </cell>
        </row>
        <row r="181">
          <cell r="B181" t="str">
            <v>BANK - SCB - DTE 01-3298817-02</v>
          </cell>
          <cell r="C181">
            <v>-1624.4593200000002</v>
          </cell>
        </row>
        <row r="182">
          <cell r="B182" t="str">
            <v>STOCK BROKER ACCOUNT</v>
          </cell>
          <cell r="C182">
            <v>9.4477700000000002</v>
          </cell>
        </row>
        <row r="183">
          <cell r="B183" t="str">
            <v>CAPITAL WORK IN PROGRESS</v>
          </cell>
          <cell r="C183">
            <v>38431.139520000004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 xml:space="preserve">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1096688.0279999995</v>
          </cell>
        </row>
        <row r="5">
          <cell r="A5">
            <v>600311</v>
          </cell>
          <cell r="B5">
            <v>685200.196</v>
          </cell>
        </row>
        <row r="6">
          <cell r="A6">
            <v>600319</v>
          </cell>
          <cell r="B6">
            <v>130573.92</v>
          </cell>
        </row>
        <row r="7">
          <cell r="A7">
            <v>600307</v>
          </cell>
          <cell r="B7">
            <v>158409.02499999999</v>
          </cell>
        </row>
        <row r="8">
          <cell r="A8">
            <v>600318</v>
          </cell>
          <cell r="B8">
            <v>363995.04</v>
          </cell>
        </row>
        <row r="9">
          <cell r="A9">
            <v>600308</v>
          </cell>
          <cell r="B9">
            <v>397304.44799999968</v>
          </cell>
        </row>
        <row r="10">
          <cell r="A10">
            <v>602413</v>
          </cell>
          <cell r="B10">
            <v>62240.831999999922</v>
          </cell>
        </row>
        <row r="11">
          <cell r="A11">
            <v>600310</v>
          </cell>
        </row>
        <row r="12">
          <cell r="A12">
            <v>600309</v>
          </cell>
          <cell r="B12">
            <v>242913.51199999999</v>
          </cell>
        </row>
        <row r="13">
          <cell r="A13">
            <v>600316</v>
          </cell>
          <cell r="B13">
            <v>247505.86200000011</v>
          </cell>
        </row>
        <row r="14">
          <cell r="A14">
            <v>602930</v>
          </cell>
          <cell r="B14">
            <v>0</v>
          </cell>
        </row>
        <row r="15">
          <cell r="A15">
            <v>600312</v>
          </cell>
          <cell r="B15">
            <v>17.783999999999992</v>
          </cell>
        </row>
        <row r="16">
          <cell r="A16">
            <v>600314</v>
          </cell>
          <cell r="B16">
            <v>3871.49</v>
          </cell>
        </row>
        <row r="17">
          <cell r="A17">
            <v>600313</v>
          </cell>
          <cell r="B17">
            <v>-1.1760000000000019</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285054.71999999997</v>
          </cell>
        </row>
        <row r="32">
          <cell r="A32">
            <v>600457</v>
          </cell>
          <cell r="B32">
            <v>270239.40000000002</v>
          </cell>
        </row>
        <row r="33">
          <cell r="A33">
            <v>600478</v>
          </cell>
          <cell r="B33">
            <v>257309.62</v>
          </cell>
        </row>
        <row r="34">
          <cell r="A34">
            <v>600469</v>
          </cell>
          <cell r="B34">
            <v>229963.14</v>
          </cell>
        </row>
        <row r="35">
          <cell r="A35">
            <v>600433</v>
          </cell>
          <cell r="B35">
            <v>236416.04600000029</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181136.64000000001</v>
          </cell>
        </row>
        <row r="44">
          <cell r="A44">
            <v>600465</v>
          </cell>
          <cell r="B44">
            <v>178997.86</v>
          </cell>
        </row>
        <row r="45">
          <cell r="A45">
            <v>600468</v>
          </cell>
          <cell r="B45">
            <v>158279.51999999999</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48011.11799999998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48657.919999999998</v>
          </cell>
        </row>
        <row r="61">
          <cell r="A61">
            <v>600452</v>
          </cell>
          <cell r="B61">
            <v>46638.48</v>
          </cell>
        </row>
        <row r="62">
          <cell r="A62">
            <v>600454</v>
          </cell>
          <cell r="B62">
            <v>40890</v>
          </cell>
        </row>
        <row r="63">
          <cell r="A63">
            <v>600467</v>
          </cell>
          <cell r="B63">
            <v>31453.967999999979</v>
          </cell>
        </row>
        <row r="64">
          <cell r="A64">
            <v>601896</v>
          </cell>
          <cell r="B64">
            <v>30657</v>
          </cell>
        </row>
        <row r="65">
          <cell r="A65">
            <v>600456</v>
          </cell>
          <cell r="B65">
            <v>22488.959999999999</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-234367.35999999999</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-10300.700000000001</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57659.199999999997</v>
          </cell>
        </row>
        <row r="102">
          <cell r="A102">
            <v>600580</v>
          </cell>
          <cell r="B102">
            <v>141220.79999999999</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-61634.400000000001</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78208.800000000003</v>
          </cell>
        </row>
        <row r="133">
          <cell r="A133">
            <v>600605</v>
          </cell>
          <cell r="B133">
            <v>18900</v>
          </cell>
        </row>
        <row r="134">
          <cell r="A134">
            <v>601511</v>
          </cell>
          <cell r="B134">
            <v>73390.600000000006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608410.5231999997</v>
          </cell>
        </row>
        <row r="144">
          <cell r="A144">
            <v>600626</v>
          </cell>
          <cell r="B144">
            <v>488683.73</v>
          </cell>
        </row>
        <row r="145">
          <cell r="A145">
            <v>600621</v>
          </cell>
          <cell r="B145">
            <v>467971.01880000019</v>
          </cell>
        </row>
        <row r="146">
          <cell r="A146">
            <v>600625</v>
          </cell>
          <cell r="B146">
            <v>339690.8959999996</v>
          </cell>
        </row>
        <row r="147">
          <cell r="A147">
            <v>600617</v>
          </cell>
          <cell r="B147">
            <v>328180.68279999995</v>
          </cell>
        </row>
        <row r="148">
          <cell r="A148">
            <v>600616</v>
          </cell>
          <cell r="B148">
            <v>293289.51399999973</v>
          </cell>
        </row>
        <row r="149">
          <cell r="A149">
            <v>600632</v>
          </cell>
          <cell r="B149">
            <v>256277.82799999995</v>
          </cell>
        </row>
        <row r="150">
          <cell r="A150">
            <v>600629</v>
          </cell>
          <cell r="B150">
            <v>321747.32</v>
          </cell>
        </row>
        <row r="151">
          <cell r="A151">
            <v>600620</v>
          </cell>
          <cell r="B151">
            <v>242846.6120000002</v>
          </cell>
        </row>
        <row r="152">
          <cell r="A152">
            <v>600622</v>
          </cell>
          <cell r="B152">
            <v>240364.636</v>
          </cell>
        </row>
        <row r="153">
          <cell r="A153">
            <v>602561</v>
          </cell>
          <cell r="B153">
            <v>40505.28899999999</v>
          </cell>
        </row>
        <row r="154">
          <cell r="A154">
            <v>602388</v>
          </cell>
          <cell r="B154">
            <v>128020.58199999997</v>
          </cell>
        </row>
        <row r="155">
          <cell r="A155">
            <v>602386</v>
          </cell>
          <cell r="B155">
            <v>118708.94199999992</v>
          </cell>
        </row>
        <row r="156">
          <cell r="A156">
            <v>600618</v>
          </cell>
          <cell r="B156">
            <v>170001.04219999997</v>
          </cell>
        </row>
        <row r="157">
          <cell r="A157">
            <v>602434</v>
          </cell>
          <cell r="B157">
            <v>89604.015799999979</v>
          </cell>
        </row>
        <row r="158">
          <cell r="A158">
            <v>600633</v>
          </cell>
          <cell r="B158">
            <v>164711.57119999977</v>
          </cell>
        </row>
        <row r="159">
          <cell r="A159">
            <v>600613</v>
          </cell>
          <cell r="B159">
            <v>141967.74890000004</v>
          </cell>
        </row>
        <row r="160">
          <cell r="A160">
            <v>602468</v>
          </cell>
          <cell r="B160">
            <v>56771.39979999997</v>
          </cell>
        </row>
        <row r="161">
          <cell r="A161">
            <v>602387</v>
          </cell>
          <cell r="B161">
            <v>82896.465999999942</v>
          </cell>
        </row>
        <row r="162">
          <cell r="A162">
            <v>600615</v>
          </cell>
          <cell r="B162">
            <v>108749.43960000009</v>
          </cell>
        </row>
        <row r="163">
          <cell r="A163">
            <v>602435</v>
          </cell>
          <cell r="B163">
            <v>60728.180800000038</v>
          </cell>
        </row>
        <row r="164">
          <cell r="A164">
            <v>601937</v>
          </cell>
          <cell r="B164">
            <v>85232.79859999998</v>
          </cell>
        </row>
        <row r="165">
          <cell r="A165">
            <v>602683</v>
          </cell>
          <cell r="B165">
            <v>0</v>
          </cell>
        </row>
        <row r="166">
          <cell r="A166">
            <v>600610</v>
          </cell>
          <cell r="B166">
            <v>62217.061799999959</v>
          </cell>
        </row>
        <row r="167">
          <cell r="A167">
            <v>600614</v>
          </cell>
          <cell r="B167">
            <v>60727.523000000067</v>
          </cell>
        </row>
        <row r="168">
          <cell r="A168">
            <v>600612</v>
          </cell>
          <cell r="B168">
            <v>52692.508800000047</v>
          </cell>
        </row>
        <row r="169">
          <cell r="A169">
            <v>602180</v>
          </cell>
          <cell r="B169">
            <v>52062.856800000016</v>
          </cell>
        </row>
        <row r="170">
          <cell r="A170">
            <v>600631</v>
          </cell>
          <cell r="B170">
            <v>51081.133200000055</v>
          </cell>
        </row>
        <row r="171">
          <cell r="A171">
            <v>602682</v>
          </cell>
          <cell r="B171">
            <v>0</v>
          </cell>
        </row>
        <row r="172">
          <cell r="A172">
            <v>601513</v>
          </cell>
          <cell r="B172">
            <v>42560.803999999982</v>
          </cell>
        </row>
        <row r="173">
          <cell r="A173">
            <v>601938</v>
          </cell>
          <cell r="B173">
            <v>42147.543399999973</v>
          </cell>
        </row>
        <row r="174">
          <cell r="A174">
            <v>602520</v>
          </cell>
          <cell r="B174">
            <v>-90652.895000000004</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13750.263000000006</v>
          </cell>
        </row>
        <row r="180">
          <cell r="A180">
            <v>602293</v>
          </cell>
          <cell r="B180">
            <v>12346.183200000014</v>
          </cell>
        </row>
        <row r="181">
          <cell r="A181">
            <v>601512</v>
          </cell>
          <cell r="B181">
            <v>12722.090999999993</v>
          </cell>
        </row>
        <row r="182">
          <cell r="A182">
            <v>602881</v>
          </cell>
          <cell r="B182">
            <v>0</v>
          </cell>
        </row>
        <row r="183">
          <cell r="A183">
            <v>602307</v>
          </cell>
          <cell r="B183">
            <v>11129.393199999991</v>
          </cell>
        </row>
        <row r="184">
          <cell r="A184">
            <v>602306</v>
          </cell>
          <cell r="B184">
            <v>10853.466999999995</v>
          </cell>
        </row>
        <row r="185">
          <cell r="A185">
            <v>602947</v>
          </cell>
          <cell r="B185">
            <v>0</v>
          </cell>
        </row>
        <row r="186">
          <cell r="A186">
            <v>601514</v>
          </cell>
          <cell r="B186">
            <v>8188.0950000000084</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1280868.6000000001</v>
          </cell>
        </row>
        <row r="204">
          <cell r="A204">
            <v>600716</v>
          </cell>
          <cell r="B204">
            <v>940306.62</v>
          </cell>
        </row>
        <row r="205">
          <cell r="A205">
            <v>600695</v>
          </cell>
          <cell r="B205">
            <v>469018.4</v>
          </cell>
        </row>
        <row r="206">
          <cell r="A206">
            <v>600705</v>
          </cell>
          <cell r="B206">
            <v>0</v>
          </cell>
        </row>
        <row r="207">
          <cell r="A207">
            <v>600726</v>
          </cell>
          <cell r="B207">
            <v>1163010.1499999999</v>
          </cell>
        </row>
        <row r="208">
          <cell r="A208">
            <v>600701</v>
          </cell>
          <cell r="B208">
            <v>286309.32</v>
          </cell>
        </row>
        <row r="209">
          <cell r="A209">
            <v>600718</v>
          </cell>
          <cell r="B209">
            <v>257118.68</v>
          </cell>
        </row>
        <row r="210">
          <cell r="A210">
            <v>600700</v>
          </cell>
          <cell r="B210">
            <v>241588.5</v>
          </cell>
        </row>
        <row r="211">
          <cell r="A211">
            <v>600699</v>
          </cell>
          <cell r="B211">
            <v>287657.28000000003</v>
          </cell>
        </row>
        <row r="212">
          <cell r="A212">
            <v>600703</v>
          </cell>
          <cell r="B212">
            <v>272276.84000000003</v>
          </cell>
        </row>
        <row r="213">
          <cell r="A213">
            <v>600724</v>
          </cell>
          <cell r="B213">
            <v>443690.64</v>
          </cell>
        </row>
        <row r="214">
          <cell r="A214">
            <v>600708</v>
          </cell>
          <cell r="B214">
            <v>190631.94</v>
          </cell>
        </row>
        <row r="215">
          <cell r="A215">
            <v>600694</v>
          </cell>
          <cell r="B215">
            <v>223544.25499999998</v>
          </cell>
        </row>
        <row r="216">
          <cell r="A216">
            <v>600721</v>
          </cell>
          <cell r="B216">
            <v>317261.59999999998</v>
          </cell>
        </row>
        <row r="217">
          <cell r="A217">
            <v>600697</v>
          </cell>
          <cell r="B217">
            <v>238417.92000000001</v>
          </cell>
        </row>
        <row r="218">
          <cell r="A218">
            <v>600712</v>
          </cell>
          <cell r="B218">
            <v>138158.82</v>
          </cell>
        </row>
        <row r="219">
          <cell r="A219">
            <v>602381</v>
          </cell>
          <cell r="B219">
            <v>122070.24</v>
          </cell>
        </row>
        <row r="220">
          <cell r="A220">
            <v>600704</v>
          </cell>
          <cell r="B220">
            <v>0</v>
          </cell>
        </row>
        <row r="221">
          <cell r="A221">
            <v>600696</v>
          </cell>
          <cell r="B221">
            <v>71377.899999999994</v>
          </cell>
        </row>
        <row r="222">
          <cell r="A222">
            <v>600720</v>
          </cell>
          <cell r="B222">
            <v>44349.440000000002</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73944.539999999994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101791.04459999999</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528615.94799999986</v>
          </cell>
        </row>
        <row r="249">
          <cell r="A249">
            <v>600793</v>
          </cell>
          <cell r="B249">
            <v>407412.2</v>
          </cell>
        </row>
        <row r="250">
          <cell r="A250">
            <v>600779</v>
          </cell>
          <cell r="B250">
            <v>438880.5</v>
          </cell>
        </row>
        <row r="251">
          <cell r="A251">
            <v>600782</v>
          </cell>
          <cell r="B251">
            <v>281228.40000000002</v>
          </cell>
        </row>
        <row r="252">
          <cell r="A252">
            <v>600796</v>
          </cell>
          <cell r="B252">
            <v>288846.34000000003</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83561.740000000005</v>
          </cell>
        </row>
        <row r="260">
          <cell r="A260">
            <v>600776</v>
          </cell>
          <cell r="B260">
            <v>90771.839999999997</v>
          </cell>
        </row>
        <row r="261">
          <cell r="A261">
            <v>600798</v>
          </cell>
          <cell r="B261">
            <v>88782.84</v>
          </cell>
        </row>
        <row r="262">
          <cell r="A262">
            <v>600784</v>
          </cell>
          <cell r="B262">
            <v>64278.400000000001</v>
          </cell>
        </row>
        <row r="263">
          <cell r="A263">
            <v>600775</v>
          </cell>
          <cell r="B263">
            <v>69345.919999999998</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29189.599999999999</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739208.5120000001</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1646504.7143999999</v>
          </cell>
        </row>
        <row r="310">
          <cell r="A310">
            <v>602489</v>
          </cell>
          <cell r="B310">
            <v>677929.24</v>
          </cell>
        </row>
        <row r="311">
          <cell r="A311">
            <v>600865</v>
          </cell>
          <cell r="B311">
            <v>702980.02</v>
          </cell>
        </row>
        <row r="312">
          <cell r="A312">
            <v>600863</v>
          </cell>
          <cell r="B312">
            <v>1416649.14</v>
          </cell>
        </row>
        <row r="313">
          <cell r="A313">
            <v>600859</v>
          </cell>
          <cell r="B313">
            <v>1108850.1139999998</v>
          </cell>
        </row>
        <row r="314">
          <cell r="A314">
            <v>600881</v>
          </cell>
          <cell r="B314">
            <v>2610568.5409999997</v>
          </cell>
        </row>
        <row r="315">
          <cell r="A315">
            <v>600858</v>
          </cell>
          <cell r="B315">
            <v>715091.4</v>
          </cell>
        </row>
        <row r="316">
          <cell r="A316">
            <v>600857</v>
          </cell>
          <cell r="B316">
            <v>1129921.0249999999</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289905.03999999998</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141010.70000000001</v>
          </cell>
        </row>
        <row r="331">
          <cell r="A331">
            <v>602823</v>
          </cell>
          <cell r="B331">
            <v>0</v>
          </cell>
        </row>
        <row r="332">
          <cell r="A332">
            <v>602795</v>
          </cell>
          <cell r="B332">
            <v>0</v>
          </cell>
        </row>
        <row r="333">
          <cell r="A333">
            <v>600886</v>
          </cell>
          <cell r="B333">
            <v>56879.24</v>
          </cell>
        </row>
        <row r="334">
          <cell r="A334">
            <v>600876</v>
          </cell>
          <cell r="B334">
            <v>-60751.968000000008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1076369.3799999999</v>
          </cell>
        </row>
        <row r="359">
          <cell r="A359">
            <v>600923</v>
          </cell>
          <cell r="B359">
            <v>1150086.1599999999</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320182.15999999997</v>
          </cell>
        </row>
        <row r="366">
          <cell r="A366">
            <v>602637</v>
          </cell>
        </row>
        <row r="367">
          <cell r="A367">
            <v>600919</v>
          </cell>
          <cell r="B367">
            <v>110869</v>
          </cell>
        </row>
        <row r="368">
          <cell r="A368">
            <v>600918</v>
          </cell>
          <cell r="B368">
            <v>0</v>
          </cell>
        </row>
        <row r="369">
          <cell r="A369">
            <v>600915</v>
          </cell>
        </row>
        <row r="370">
          <cell r="A370">
            <v>600916</v>
          </cell>
          <cell r="B370">
            <v>158740.92000000001</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2077587.346000002</v>
          </cell>
        </row>
        <row r="378">
          <cell r="A378">
            <v>600932</v>
          </cell>
          <cell r="B378">
            <v>18971.568000000218</v>
          </cell>
        </row>
        <row r="379">
          <cell r="A379">
            <v>600929</v>
          </cell>
          <cell r="B379">
            <v>8505.2816000002058</v>
          </cell>
        </row>
        <row r="380">
          <cell r="A380">
            <v>602620</v>
          </cell>
          <cell r="B380">
            <v>0</v>
          </cell>
        </row>
        <row r="381">
          <cell r="A381">
            <v>600926</v>
          </cell>
          <cell r="B381">
            <v>83824.143599999894</v>
          </cell>
        </row>
        <row r="382">
          <cell r="A382">
            <v>600930</v>
          </cell>
          <cell r="B382">
            <v>65238.606400000004</v>
          </cell>
        </row>
        <row r="383">
          <cell r="A383">
            <v>600927</v>
          </cell>
          <cell r="B383">
            <v>75408.413599999942</v>
          </cell>
        </row>
        <row r="384">
          <cell r="A384">
            <v>602552</v>
          </cell>
          <cell r="B384">
            <v>3094.984799999997</v>
          </cell>
        </row>
        <row r="385">
          <cell r="A385">
            <v>600928</v>
          </cell>
          <cell r="B385">
            <v>12.250799999999998</v>
          </cell>
        </row>
        <row r="386">
          <cell r="A386">
            <v>601116</v>
          </cell>
          <cell r="B386">
            <v>637827.6</v>
          </cell>
        </row>
        <row r="387">
          <cell r="A387">
            <v>601115</v>
          </cell>
          <cell r="B387">
            <v>3971076.82</v>
          </cell>
        </row>
        <row r="388">
          <cell r="A388">
            <v>601112</v>
          </cell>
          <cell r="B388">
            <v>3205181.9552000002</v>
          </cell>
        </row>
        <row r="389">
          <cell r="A389">
            <v>601111</v>
          </cell>
          <cell r="B389">
            <v>1598452.42</v>
          </cell>
        </row>
        <row r="390">
          <cell r="A390">
            <v>601108</v>
          </cell>
          <cell r="B390">
            <v>1215636.0297999999</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69685.472999999998</v>
          </cell>
        </row>
        <row r="396">
          <cell r="A396">
            <v>601138</v>
          </cell>
          <cell r="B396">
            <v>0</v>
          </cell>
        </row>
        <row r="397">
          <cell r="A397">
            <v>601140</v>
          </cell>
          <cell r="B397">
            <v>-255933.45200000083</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26720.639999999999</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75282.600000000006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2558954.3199999998</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159624.07999999999</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80818.039999999994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4344.6000000000004</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-255.32759999999988</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37375.800000000003</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6202186.6699999999</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318499.40000000002</v>
          </cell>
        </row>
        <row r="492">
          <cell r="A492">
            <v>601973</v>
          </cell>
          <cell r="B492">
            <v>480415.32</v>
          </cell>
        </row>
        <row r="493">
          <cell r="A493">
            <v>600665</v>
          </cell>
          <cell r="B493">
            <v>70586.058000000136</v>
          </cell>
        </row>
        <row r="494">
          <cell r="A494">
            <v>600651</v>
          </cell>
          <cell r="B494">
            <v>644183.24</v>
          </cell>
        </row>
        <row r="495">
          <cell r="A495">
            <v>600663</v>
          </cell>
          <cell r="B495">
            <v>187559.61</v>
          </cell>
        </row>
        <row r="496">
          <cell r="A496">
            <v>600666</v>
          </cell>
          <cell r="B496">
            <v>550163.28</v>
          </cell>
        </row>
        <row r="497">
          <cell r="A497">
            <v>600661</v>
          </cell>
          <cell r="B497">
            <v>144337.14000000001</v>
          </cell>
        </row>
        <row r="498">
          <cell r="A498">
            <v>600652</v>
          </cell>
          <cell r="B498">
            <v>375520.92900000006</v>
          </cell>
        </row>
        <row r="499">
          <cell r="A499">
            <v>601974</v>
          </cell>
          <cell r="B499">
            <v>100532.96</v>
          </cell>
        </row>
        <row r="500">
          <cell r="A500">
            <v>600542</v>
          </cell>
          <cell r="B500">
            <v>149758.82999999999</v>
          </cell>
        </row>
        <row r="501">
          <cell r="A501">
            <v>601940</v>
          </cell>
          <cell r="B501">
            <v>90905.600000000006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6513.0911999999653</v>
          </cell>
        </row>
        <row r="508">
          <cell r="A508">
            <v>600551</v>
          </cell>
          <cell r="B508">
            <v>9766.4280000000126</v>
          </cell>
        </row>
        <row r="509">
          <cell r="A509">
            <v>600550</v>
          </cell>
          <cell r="B509">
            <v>3053.3975999999843</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136.19999999999999</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2.9990000000000001</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-2.2000000000000002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2.2999999999999998</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428.04199999999997</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1.9990000000000001</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376.04199999999997</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37.700000000000003</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9.1999999999999886</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16460.599999999999</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-1.8000000000000114</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945181.27499999991</v>
          </cell>
          <cell r="G930">
            <v>698272</v>
          </cell>
          <cell r="H930">
            <v>307257.43000000005</v>
          </cell>
          <cell r="I930">
            <v>1005529.4299999999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BUD-D.XLS"/>
      <sheetName val="Stats"/>
      <sheetName val="BLProf"/>
      <sheetName val="BS"/>
      <sheetName val="IS STD"/>
      <sheetName val="Info"/>
      <sheetName val="Date Setup"/>
      <sheetName val="IS Mon"/>
      <sheetName val="ProjNext"/>
      <sheetName val="ProjCurr"/>
      <sheetName val="Op Bal"/>
      <sheetName val="Layout"/>
      <sheetName val="Sensitivity"/>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Capital All"/>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Debit Adj"/>
      <sheetName val="Balance"/>
      <sheetName val="Brecomp"/>
      <sheetName val="Parc"/>
      <sheetName val="BS1415"/>
      <sheetName val="Tax"/>
      <sheetName val="PL1415"/>
      <sheetName val="OD-INR"/>
    </sheetNames>
    <sheetDataSet>
      <sheetData sheetId="0" refreshError="1"/>
      <sheetData sheetId="1" refreshError="1">
        <row r="11">
          <cell r="D11" t="str">
            <v>205-811</v>
          </cell>
        </row>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G155">
            <v>0</v>
          </cell>
          <cell r="H155">
            <v>24.382720199190786</v>
          </cell>
          <cell r="I155">
            <v>235025.03999999998</v>
          </cell>
          <cell r="J155">
            <v>100</v>
          </cell>
          <cell r="K155">
            <v>0</v>
          </cell>
          <cell r="L155">
            <v>0</v>
          </cell>
          <cell r="M155">
            <v>0</v>
          </cell>
          <cell r="N155">
            <v>24.382720199190786</v>
          </cell>
          <cell r="O155">
            <v>235025.03999999998</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6254623.6200000001</v>
          </cell>
          <cell r="C7">
            <v>1050645.5</v>
          </cell>
          <cell r="D7">
            <v>330776.59999999998</v>
          </cell>
          <cell r="E7">
            <v>2795546.66</v>
          </cell>
          <cell r="F7">
            <v>1061679.04</v>
          </cell>
          <cell r="G7">
            <v>3778820.02</v>
          </cell>
          <cell r="J7">
            <v>0.47617451186250109</v>
          </cell>
          <cell r="K7">
            <v>38093.960949000088</v>
          </cell>
        </row>
        <row r="8">
          <cell r="A8" t="str">
            <v>Adwia</v>
          </cell>
          <cell r="B8">
            <v>39534.379999999997</v>
          </cell>
          <cell r="C8">
            <v>0</v>
          </cell>
          <cell r="D8">
            <v>0</v>
          </cell>
          <cell r="E8">
            <v>10366.959999999999</v>
          </cell>
          <cell r="F8">
            <v>1822.96</v>
          </cell>
          <cell r="G8">
            <v>27344.46</v>
          </cell>
          <cell r="J8">
            <v>3.4457144885782854E-3</v>
          </cell>
          <cell r="K8">
            <v>275.65715908626282</v>
          </cell>
        </row>
        <row r="9">
          <cell r="A9" t="str">
            <v>Aegis Ltd.</v>
          </cell>
          <cell r="B9">
            <v>196310.06</v>
          </cell>
          <cell r="C9">
            <v>0</v>
          </cell>
          <cell r="D9">
            <v>0</v>
          </cell>
          <cell r="E9">
            <v>0</v>
          </cell>
          <cell r="F9">
            <v>0</v>
          </cell>
          <cell r="G9">
            <v>196310.06</v>
          </cell>
          <cell r="J9">
            <v>2.4737311250457042E-2</v>
          </cell>
          <cell r="K9">
            <v>1978.9849000365634</v>
          </cell>
        </row>
        <row r="10">
          <cell r="A10" t="str">
            <v>Allergan</v>
          </cell>
          <cell r="B10">
            <v>1491558.52</v>
          </cell>
          <cell r="C10">
            <v>1962369.9</v>
          </cell>
          <cell r="D10">
            <v>0</v>
          </cell>
          <cell r="E10">
            <v>1455180.92</v>
          </cell>
          <cell r="F10">
            <v>1922.74</v>
          </cell>
          <cell r="G10">
            <v>1996824.77</v>
          </cell>
          <cell r="J10">
            <v>0.25162274336889456</v>
          </cell>
          <cell r="K10">
            <v>20129.819469511564</v>
          </cell>
        </row>
        <row r="11">
          <cell r="A11" t="str">
            <v>AMO Asia Ltd.</v>
          </cell>
          <cell r="B11">
            <v>3405259.68</v>
          </cell>
          <cell r="C11">
            <v>2821148.73</v>
          </cell>
          <cell r="D11">
            <v>0</v>
          </cell>
          <cell r="E11">
            <v>758402.69</v>
          </cell>
          <cell r="F11">
            <v>231295.98</v>
          </cell>
          <cell r="G11">
            <v>5236709.75</v>
          </cell>
          <cell r="J11">
            <v>0.65988528053046847</v>
          </cell>
          <cell r="K11">
            <v>52790.822442437478</v>
          </cell>
        </row>
        <row r="12">
          <cell r="A12" t="str">
            <v>Apex Marketing &amp; Technica</v>
          </cell>
          <cell r="B12">
            <v>617152.52</v>
          </cell>
          <cell r="C12">
            <v>0</v>
          </cell>
          <cell r="D12">
            <v>0</v>
          </cell>
          <cell r="E12">
            <v>0</v>
          </cell>
          <cell r="F12">
            <v>0</v>
          </cell>
          <cell r="G12">
            <v>617152.52</v>
          </cell>
          <cell r="J12">
            <v>7.7768271153520682E-2</v>
          </cell>
          <cell r="K12">
            <v>6221.4616922816549</v>
          </cell>
        </row>
        <row r="13">
          <cell r="A13" t="str">
            <v>AstraZeneca</v>
          </cell>
          <cell r="B13">
            <v>68651437.769999996</v>
          </cell>
          <cell r="C13">
            <v>5158039.1100000003</v>
          </cell>
          <cell r="D13">
            <v>104774.59</v>
          </cell>
          <cell r="E13">
            <v>16040884.119999999</v>
          </cell>
          <cell r="F13">
            <v>626352.73</v>
          </cell>
          <cell r="G13">
            <v>57247014.630000003</v>
          </cell>
          <cell r="J13">
            <v>7.2137781378181938</v>
          </cell>
          <cell r="K13">
            <v>577102.25102545554</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188494.07999999999</v>
          </cell>
          <cell r="F16">
            <v>0</v>
          </cell>
          <cell r="G16">
            <v>2799857.43</v>
          </cell>
          <cell r="J16">
            <v>0.3528140366459811</v>
          </cell>
          <cell r="K16">
            <v>28225.122931678488</v>
          </cell>
        </row>
        <row r="17">
          <cell r="A17" t="str">
            <v>Ceva Sante</v>
          </cell>
          <cell r="B17">
            <v>849565.32</v>
          </cell>
          <cell r="C17">
            <v>0</v>
          </cell>
          <cell r="D17">
            <v>0</v>
          </cell>
          <cell r="E17">
            <v>100395.66</v>
          </cell>
          <cell r="F17">
            <v>1400.86</v>
          </cell>
          <cell r="G17">
            <v>747768.81</v>
          </cell>
          <cell r="J17">
            <v>9.4227416548871082E-2</v>
          </cell>
          <cell r="K17">
            <v>7538.1933239096861</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7.2595751482572666E-3</v>
          </cell>
          <cell r="K21">
            <v>580.76601186058133</v>
          </cell>
        </row>
        <row r="22">
          <cell r="A22" t="str">
            <v>Eli Lilly</v>
          </cell>
          <cell r="B22">
            <v>10779143.640000001</v>
          </cell>
          <cell r="C22">
            <v>8786483.2899999991</v>
          </cell>
          <cell r="D22">
            <v>0</v>
          </cell>
          <cell r="E22">
            <v>6240026.0899999999</v>
          </cell>
          <cell r="F22">
            <v>18421.32</v>
          </cell>
          <cell r="G22">
            <v>13307179.51</v>
          </cell>
          <cell r="J22">
            <v>1.6768567102703469</v>
          </cell>
          <cell r="K22">
            <v>134148.53682162776</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2549392.9700000002</v>
          </cell>
          <cell r="J25">
            <v>0.32125265204756748</v>
          </cell>
          <cell r="K25">
            <v>25700.212163805398</v>
          </cell>
        </row>
        <row r="26">
          <cell r="A26" t="str">
            <v>G R Exports</v>
          </cell>
          <cell r="B26">
            <v>12029713.59</v>
          </cell>
          <cell r="C26">
            <v>0</v>
          </cell>
          <cell r="D26">
            <v>701482.57</v>
          </cell>
          <cell r="E26">
            <v>2955240.7</v>
          </cell>
          <cell r="F26">
            <v>138891.09</v>
          </cell>
          <cell r="G26">
            <v>9637064.3699999992</v>
          </cell>
          <cell r="J26">
            <v>1.2143802557106838</v>
          </cell>
          <cell r="K26">
            <v>97150.420456854699</v>
          </cell>
        </row>
        <row r="27">
          <cell r="A27" t="str">
            <v>Getz Pharma</v>
          </cell>
          <cell r="B27">
            <v>2942307.73</v>
          </cell>
          <cell r="C27">
            <v>1270325.19</v>
          </cell>
          <cell r="D27">
            <v>0</v>
          </cell>
          <cell r="E27">
            <v>906476</v>
          </cell>
          <cell r="F27">
            <v>1417.92</v>
          </cell>
          <cell r="G27">
            <v>3304738.99</v>
          </cell>
          <cell r="J27">
            <v>0.41643488365879489</v>
          </cell>
          <cell r="K27">
            <v>33314.790692703587</v>
          </cell>
        </row>
        <row r="28">
          <cell r="A28" t="str">
            <v>Goldshield</v>
          </cell>
          <cell r="B28">
            <v>1606892.7</v>
          </cell>
          <cell r="C28">
            <v>0</v>
          </cell>
          <cell r="D28">
            <v>0</v>
          </cell>
          <cell r="E28">
            <v>125511.67999999999</v>
          </cell>
          <cell r="F28">
            <v>4902.8</v>
          </cell>
          <cell r="G28">
            <v>1476478.22</v>
          </cell>
          <cell r="J28">
            <v>0.18605313086176423</v>
          </cell>
          <cell r="K28">
            <v>14884.250468941138</v>
          </cell>
        </row>
        <row r="29">
          <cell r="A29" t="str">
            <v>Grafton Pharmacia</v>
          </cell>
          <cell r="B29">
            <v>264365.09999999998</v>
          </cell>
          <cell r="C29">
            <v>0</v>
          </cell>
          <cell r="D29">
            <v>0</v>
          </cell>
          <cell r="E29">
            <v>2429.5</v>
          </cell>
          <cell r="F29">
            <v>0</v>
          </cell>
          <cell r="G29">
            <v>261935.61</v>
          </cell>
          <cell r="J29">
            <v>3.3006880605855493E-2</v>
          </cell>
          <cell r="K29">
            <v>2640.5504484684393</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4.9471860330383395E-3</v>
          </cell>
          <cell r="K31">
            <v>395.77488264306714</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3.5911885091679661E-2</v>
          </cell>
          <cell r="K33">
            <v>2872.9508073343727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3.7097637520207526E-2</v>
          </cell>
          <cell r="K35">
            <v>2967.811001616602</v>
          </cell>
        </row>
        <row r="36">
          <cell r="A36" t="str">
            <v>Kalbe Pharma</v>
          </cell>
          <cell r="B36">
            <v>22110424.989999998</v>
          </cell>
          <cell r="C36">
            <v>7103217.25</v>
          </cell>
          <cell r="D36">
            <v>2966.98</v>
          </cell>
          <cell r="E36">
            <v>7398508.2300000004</v>
          </cell>
          <cell r="F36">
            <v>183237.3</v>
          </cell>
          <cell r="G36">
            <v>21634863.690000001</v>
          </cell>
          <cell r="J36">
            <v>2.7262400967160909</v>
          </cell>
          <cell r="K36">
            <v>218099.20773728727</v>
          </cell>
        </row>
        <row r="37">
          <cell r="A37" t="str">
            <v>Leo</v>
          </cell>
          <cell r="B37">
            <v>41076069.329999998</v>
          </cell>
          <cell r="C37">
            <v>0</v>
          </cell>
          <cell r="D37">
            <v>0</v>
          </cell>
          <cell r="E37">
            <v>4900375.1900000004</v>
          </cell>
          <cell r="F37">
            <v>247605.36</v>
          </cell>
          <cell r="G37">
            <v>35928088.789999999</v>
          </cell>
          <cell r="J37">
            <v>4.5273498211568297</v>
          </cell>
          <cell r="K37">
            <v>362187.98569254635</v>
          </cell>
        </row>
        <row r="38">
          <cell r="A38" t="str">
            <v>Macter International</v>
          </cell>
          <cell r="B38">
            <v>573519.41</v>
          </cell>
          <cell r="C38">
            <v>0</v>
          </cell>
          <cell r="D38">
            <v>0</v>
          </cell>
          <cell r="E38">
            <v>0</v>
          </cell>
          <cell r="F38">
            <v>0</v>
          </cell>
          <cell r="G38">
            <v>573519.41</v>
          </cell>
          <cell r="J38">
            <v>7.2270000596752329E-2</v>
          </cell>
          <cell r="K38">
            <v>5781.6000477401867</v>
          </cell>
        </row>
        <row r="39">
          <cell r="A39" t="str">
            <v>Mathys</v>
          </cell>
          <cell r="B39">
            <v>3230717.66</v>
          </cell>
          <cell r="C39">
            <v>0</v>
          </cell>
          <cell r="D39">
            <v>0</v>
          </cell>
          <cell r="E39">
            <v>0</v>
          </cell>
          <cell r="F39">
            <v>0</v>
          </cell>
          <cell r="G39">
            <v>3230717.66</v>
          </cell>
          <cell r="J39">
            <v>0.40710735006534182</v>
          </cell>
          <cell r="K39">
            <v>32568.588005227346</v>
          </cell>
        </row>
        <row r="40">
          <cell r="A40" t="str">
            <v>Medela</v>
          </cell>
          <cell r="B40">
            <v>117233.1</v>
          </cell>
          <cell r="C40">
            <v>0</v>
          </cell>
          <cell r="D40">
            <v>0</v>
          </cell>
          <cell r="E40">
            <v>0</v>
          </cell>
          <cell r="F40">
            <v>0</v>
          </cell>
          <cell r="G40">
            <v>117233.1</v>
          </cell>
          <cell r="J40">
            <v>1.477271049459185E-2</v>
          </cell>
          <cell r="K40">
            <v>1181.8168395673479</v>
          </cell>
        </row>
        <row r="41">
          <cell r="A41" t="str">
            <v>Mefar</v>
          </cell>
          <cell r="B41">
            <v>16422.03</v>
          </cell>
          <cell r="C41">
            <v>0</v>
          </cell>
          <cell r="D41">
            <v>0</v>
          </cell>
          <cell r="E41">
            <v>0</v>
          </cell>
          <cell r="F41">
            <v>0</v>
          </cell>
          <cell r="G41">
            <v>16422.03</v>
          </cell>
          <cell r="J41">
            <v>2.0693634726327475E-3</v>
          </cell>
          <cell r="K41">
            <v>165.54907781061979</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0.47379388377796261</v>
          </cell>
          <cell r="K45">
            <v>37903.510702237007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9158559.9499999993</v>
          </cell>
          <cell r="C47">
            <v>5751394.4500000002</v>
          </cell>
          <cell r="D47">
            <v>581735.59</v>
          </cell>
          <cell r="E47">
            <v>3378154.98</v>
          </cell>
          <cell r="F47">
            <v>328454.38</v>
          </cell>
          <cell r="G47">
            <v>11785080.619999999</v>
          </cell>
          <cell r="J47">
            <v>1.4850548535753554</v>
          </cell>
          <cell r="K47">
            <v>118804.38828602844</v>
          </cell>
        </row>
        <row r="48">
          <cell r="A48" t="str">
            <v>Phoenix</v>
          </cell>
          <cell r="B48">
            <v>337866.15</v>
          </cell>
          <cell r="C48">
            <v>19747.8</v>
          </cell>
          <cell r="D48">
            <v>0</v>
          </cell>
          <cell r="E48">
            <v>0</v>
          </cell>
          <cell r="F48">
            <v>0</v>
          </cell>
          <cell r="G48">
            <v>357613.95</v>
          </cell>
          <cell r="J48">
            <v>4.5063444984201943E-2</v>
          </cell>
          <cell r="K48">
            <v>3605.0755987361554</v>
          </cell>
        </row>
        <row r="49">
          <cell r="A49" t="str">
            <v>Ranbaxy</v>
          </cell>
          <cell r="B49">
            <v>44697335.359999999</v>
          </cell>
          <cell r="C49">
            <v>15129741.92</v>
          </cell>
          <cell r="D49">
            <v>17000.59</v>
          </cell>
          <cell r="E49">
            <v>17349714.390000001</v>
          </cell>
          <cell r="F49">
            <v>2655402.91</v>
          </cell>
          <cell r="G49">
            <v>39838960.579999998</v>
          </cell>
          <cell r="J49">
            <v>5.0201643653012411</v>
          </cell>
          <cell r="K49">
            <v>401613.1492240993</v>
          </cell>
        </row>
        <row r="50">
          <cell r="A50" t="str">
            <v>Ranbaxy - Animal Healthca</v>
          </cell>
          <cell r="B50">
            <v>1984170.13</v>
          </cell>
          <cell r="C50">
            <v>0</v>
          </cell>
          <cell r="D50">
            <v>0</v>
          </cell>
          <cell r="E50">
            <v>112243.49</v>
          </cell>
          <cell r="F50">
            <v>0.01</v>
          </cell>
          <cell r="G50">
            <v>1871926.63</v>
          </cell>
          <cell r="J50">
            <v>0.23588415022810921</v>
          </cell>
          <cell r="K50">
            <v>18870.732018248738</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5.929261147899427E-3</v>
          </cell>
          <cell r="K52">
            <v>474.34089183195414</v>
          </cell>
        </row>
        <row r="53">
          <cell r="A53" t="str">
            <v>Sakafarma Laboratories</v>
          </cell>
          <cell r="B53">
            <v>93030.93</v>
          </cell>
          <cell r="C53">
            <v>0</v>
          </cell>
          <cell r="D53">
            <v>0</v>
          </cell>
          <cell r="E53">
            <v>2877.25</v>
          </cell>
          <cell r="F53">
            <v>0</v>
          </cell>
          <cell r="G53">
            <v>90153.69</v>
          </cell>
          <cell r="J53">
            <v>1.1360395335354777E-2</v>
          </cell>
          <cell r="K53">
            <v>908.83162682838224</v>
          </cell>
        </row>
        <row r="54">
          <cell r="A54" t="str">
            <v>Saqalain International</v>
          </cell>
          <cell r="B54">
            <v>0</v>
          </cell>
          <cell r="C54">
            <v>0</v>
          </cell>
          <cell r="D54">
            <v>0</v>
          </cell>
          <cell r="E54">
            <v>0</v>
          </cell>
          <cell r="F54">
            <v>0</v>
          </cell>
          <cell r="G54">
            <v>0</v>
          </cell>
          <cell r="J54">
            <v>0</v>
          </cell>
          <cell r="K54">
            <v>0</v>
          </cell>
        </row>
        <row r="55">
          <cell r="A55" t="str">
            <v>Schering</v>
          </cell>
          <cell r="B55">
            <v>16260243.359999999</v>
          </cell>
          <cell r="C55">
            <v>0</v>
          </cell>
          <cell r="D55">
            <v>0</v>
          </cell>
          <cell r="E55">
            <v>3513397.18</v>
          </cell>
          <cell r="F55">
            <v>90238.86</v>
          </cell>
          <cell r="G55">
            <v>12656607.32</v>
          </cell>
          <cell r="J55">
            <v>1.59487717873273</v>
          </cell>
          <cell r="K55">
            <v>127590.17429861841</v>
          </cell>
        </row>
        <row r="56">
          <cell r="A56" t="str">
            <v>Sciclone</v>
          </cell>
          <cell r="B56">
            <v>1902192.19</v>
          </cell>
          <cell r="C56">
            <v>0</v>
          </cell>
          <cell r="D56">
            <v>0</v>
          </cell>
          <cell r="E56">
            <v>143022.14000000001</v>
          </cell>
          <cell r="F56">
            <v>-0.77</v>
          </cell>
          <cell r="G56">
            <v>1759170.83</v>
          </cell>
          <cell r="J56">
            <v>0.22167563070601096</v>
          </cell>
          <cell r="K56">
            <v>17734.050456480876</v>
          </cell>
        </row>
        <row r="57">
          <cell r="A57" t="str">
            <v>Servier</v>
          </cell>
          <cell r="B57">
            <v>11215242.880000001</v>
          </cell>
          <cell r="C57">
            <v>0</v>
          </cell>
          <cell r="D57">
            <v>0</v>
          </cell>
          <cell r="E57">
            <v>3616132.03</v>
          </cell>
          <cell r="F57">
            <v>-9.91</v>
          </cell>
          <cell r="G57">
            <v>7599120.7599999998</v>
          </cell>
          <cell r="J57">
            <v>0.95757606854141686</v>
          </cell>
          <cell r="K57">
            <v>76606.085483313349</v>
          </cell>
        </row>
        <row r="58">
          <cell r="A58" t="str">
            <v>Seven Seas</v>
          </cell>
          <cell r="B58">
            <v>8255292.7599999998</v>
          </cell>
          <cell r="C58">
            <v>3750670.57</v>
          </cell>
          <cell r="D58">
            <v>130535</v>
          </cell>
          <cell r="E58">
            <v>2339070.0499999998</v>
          </cell>
          <cell r="F58">
            <v>48604.83</v>
          </cell>
          <cell r="G58">
            <v>9748823.4399999995</v>
          </cell>
          <cell r="J58">
            <v>1.2284631758608362</v>
          </cell>
          <cell r="K58">
            <v>98277.054068866899</v>
          </cell>
        </row>
        <row r="59">
          <cell r="A59" t="str">
            <v>Seven Seas Vetinary</v>
          </cell>
          <cell r="B59">
            <v>1570528.37</v>
          </cell>
          <cell r="C59">
            <v>672507.26</v>
          </cell>
          <cell r="D59">
            <v>0</v>
          </cell>
          <cell r="E59">
            <v>372379.23</v>
          </cell>
          <cell r="F59">
            <v>755.63</v>
          </cell>
          <cell r="G59">
            <v>1869900.77</v>
          </cell>
          <cell r="J59">
            <v>0.23562886871390742</v>
          </cell>
          <cell r="K59">
            <v>18850.309497112594</v>
          </cell>
        </row>
        <row r="60">
          <cell r="A60" t="str">
            <v>Shushrut</v>
          </cell>
          <cell r="B60">
            <v>165838.48000000001</v>
          </cell>
          <cell r="C60">
            <v>0</v>
          </cell>
          <cell r="D60">
            <v>0</v>
          </cell>
          <cell r="E60">
            <v>0</v>
          </cell>
          <cell r="F60">
            <v>0</v>
          </cell>
          <cell r="G60">
            <v>165838.48000000001</v>
          </cell>
          <cell r="J60">
            <v>2.0897543901024204E-2</v>
          </cell>
          <cell r="K60">
            <v>1671.8035120819363</v>
          </cell>
        </row>
        <row r="61">
          <cell r="A61" t="str">
            <v>Smith &amp; Nephew</v>
          </cell>
          <cell r="B61">
            <v>3064658.51</v>
          </cell>
          <cell r="C61">
            <v>0</v>
          </cell>
          <cell r="D61">
            <v>0</v>
          </cell>
          <cell r="E61">
            <v>217123.58</v>
          </cell>
          <cell r="F61">
            <v>-56.36</v>
          </cell>
          <cell r="G61">
            <v>2847591.3</v>
          </cell>
          <cell r="J61">
            <v>0.35882904983164687</v>
          </cell>
          <cell r="K61">
            <v>28706.323986531748</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1.5154134489999972E-4</v>
          </cell>
          <cell r="K63">
            <v>12.123307591999977</v>
          </cell>
        </row>
        <row r="64">
          <cell r="A64" t="str">
            <v>Tanabe</v>
          </cell>
          <cell r="B64">
            <v>5003644.7</v>
          </cell>
          <cell r="C64">
            <v>3804358.13</v>
          </cell>
          <cell r="D64">
            <v>3397.85</v>
          </cell>
          <cell r="E64">
            <v>2845508.25</v>
          </cell>
          <cell r="F64">
            <v>49.49</v>
          </cell>
          <cell r="G64">
            <v>5965842.9400000004</v>
          </cell>
          <cell r="J64">
            <v>0.75176439596687872</v>
          </cell>
          <cell r="K64">
            <v>60141.151677350295</v>
          </cell>
        </row>
        <row r="65">
          <cell r="A65" t="str">
            <v>Terumo</v>
          </cell>
          <cell r="B65">
            <v>14984031.16</v>
          </cell>
          <cell r="C65">
            <v>3812524</v>
          </cell>
          <cell r="D65">
            <v>2</v>
          </cell>
          <cell r="E65">
            <v>4905113.08</v>
          </cell>
          <cell r="F65">
            <v>690.35</v>
          </cell>
          <cell r="G65">
            <v>13890753.720000001</v>
          </cell>
          <cell r="J65">
            <v>1.7503937305866242</v>
          </cell>
          <cell r="K65">
            <v>140031.49844692994</v>
          </cell>
        </row>
        <row r="66">
          <cell r="A66" t="str">
            <v>Tyco Healthcare</v>
          </cell>
          <cell r="B66">
            <v>10168963.890000001</v>
          </cell>
          <cell r="C66">
            <v>0</v>
          </cell>
          <cell r="D66">
            <v>0</v>
          </cell>
          <cell r="E66">
            <v>37502.26</v>
          </cell>
          <cell r="F66">
            <v>0</v>
          </cell>
          <cell r="G66">
            <v>10131461.630000001</v>
          </cell>
          <cell r="J66">
            <v>1.2766799610950803</v>
          </cell>
          <cell r="K66">
            <v>102134.39688760642</v>
          </cell>
        </row>
        <row r="67">
          <cell r="A67" t="str">
            <v>Universal Medicare</v>
          </cell>
          <cell r="B67">
            <v>0</v>
          </cell>
          <cell r="C67">
            <v>0</v>
          </cell>
          <cell r="D67">
            <v>0</v>
          </cell>
          <cell r="E67">
            <v>0</v>
          </cell>
          <cell r="F67">
            <v>0</v>
          </cell>
          <cell r="G67">
            <v>0</v>
          </cell>
          <cell r="J67">
            <v>0</v>
          </cell>
          <cell r="K67">
            <v>0</v>
          </cell>
        </row>
        <row r="68">
          <cell r="A68" t="str">
            <v>USV Ltd</v>
          </cell>
          <cell r="B68">
            <v>10644987.220000001</v>
          </cell>
          <cell r="C68">
            <v>573849.24</v>
          </cell>
          <cell r="D68">
            <v>0</v>
          </cell>
          <cell r="E68">
            <v>3060801.74</v>
          </cell>
          <cell r="F68">
            <v>222246.63</v>
          </cell>
          <cell r="G68">
            <v>7935788.0899999999</v>
          </cell>
          <cell r="J68">
            <v>36.511651062749074</v>
          </cell>
          <cell r="K68">
            <v>2920932.0850199265</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330961306.72000003</v>
          </cell>
          <cell r="C72">
            <v>64453624.869999997</v>
          </cell>
          <cell r="D72">
            <v>1889772.95</v>
          </cell>
          <cell r="E72">
            <v>89019046.689999998</v>
          </cell>
          <cell r="F72">
            <v>5969178.5999999996</v>
          </cell>
          <cell r="G72">
            <v>302316479.25999999</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A"/>
      <sheetName val="CRA-Detail"/>
      <sheetName val="Bonus Rating"/>
      <sheetName val="2045020001"/>
      <sheetName val="LANGUAGE"/>
      <sheetName val="budget_2013|14 mee. b.centers"/>
      <sheetName val="ICP"/>
      <sheetName val="Equipment List"/>
      <sheetName val="GROUP_CF"/>
      <sheetName val="GROUP_CF1"/>
      <sheetName val="GROUP_CF2"/>
      <sheetName val="GROUP_CF3"/>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IS_Mon41"/>
      <sheetName val="IS_STD41"/>
      <sheetName val="Date_Setup41"/>
      <sheetName val="Cost_codes_&amp;_GL_list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s>
    <sheetDataSet>
      <sheetData sheetId="0" refreshError="1">
        <row r="2">
          <cell r="B2" t="str">
            <v xml:space="preserve">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35268.702116898145</v>
          </cell>
          <cell r="L4" t="e">
            <v>#REF!</v>
          </cell>
          <cell r="M4" t="e">
            <v>#REF!</v>
          </cell>
          <cell r="N4" t="e">
            <v>#REF!</v>
          </cell>
          <cell r="O4" t="e">
            <v>#REF!</v>
          </cell>
          <cell r="P4" t="e">
            <v>#REF!</v>
          </cell>
          <cell r="Q4" t="e">
            <v>#REF!</v>
          </cell>
          <cell r="R4" t="e">
            <v>#REF!</v>
          </cell>
          <cell r="S4" t="e">
            <v>#REF!</v>
          </cell>
          <cell r="T4" t="str">
            <v>Run Date:</v>
          </cell>
          <cell r="U4">
            <v>35268.702116898145</v>
          </cell>
          <cell r="V4" t="str">
            <v>Run Date:</v>
          </cell>
          <cell r="W4">
            <v>35268.702116898145</v>
          </cell>
          <cell r="X4" t="str">
            <v>Run Date:</v>
          </cell>
          <cell r="Y4">
            <v>35268.702116898145</v>
          </cell>
          <cell r="Z4" t="str">
            <v>Run Date:</v>
          </cell>
          <cell r="AA4">
            <v>35268.702116898145</v>
          </cell>
          <cell r="AB4">
            <v>0</v>
          </cell>
          <cell r="AC4">
            <v>0</v>
          </cell>
          <cell r="AD4" t="str">
            <v>Run Date:</v>
          </cell>
          <cell r="AE4">
            <v>35268.702116898145</v>
          </cell>
          <cell r="AF4" t="str">
            <v>Run Date:</v>
          </cell>
          <cell r="AG4">
            <v>35268.702116898145</v>
          </cell>
          <cell r="AH4" t="str">
            <v>Run Date:</v>
          </cell>
          <cell r="AI4">
            <v>35268.702116898145</v>
          </cell>
          <cell r="AJ4">
            <v>0</v>
          </cell>
          <cell r="AK4">
            <v>0</v>
          </cell>
          <cell r="AL4">
            <v>0</v>
          </cell>
          <cell r="AM4">
            <v>0</v>
          </cell>
          <cell r="AN4" t="str">
            <v>Run Date:</v>
          </cell>
          <cell r="AO4">
            <v>35268.702116898145</v>
          </cell>
          <cell r="AP4">
            <v>0</v>
          </cell>
          <cell r="AQ4">
            <v>0</v>
          </cell>
          <cell r="AR4">
            <v>0</v>
          </cell>
          <cell r="AS4">
            <v>0</v>
          </cell>
          <cell r="AT4">
            <v>0</v>
          </cell>
          <cell r="AU4">
            <v>0</v>
          </cell>
          <cell r="AV4">
            <v>0</v>
          </cell>
          <cell r="AW4">
            <v>0</v>
          </cell>
          <cell r="AX4" t="str">
            <v>Run Date:</v>
          </cell>
          <cell r="AY4">
            <v>35268.702116898145</v>
          </cell>
          <cell r="AZ4">
            <v>0</v>
          </cell>
          <cell r="BA4">
            <v>0</v>
          </cell>
          <cell r="BB4">
            <v>0</v>
          </cell>
          <cell r="BC4">
            <v>0</v>
          </cell>
          <cell r="BD4">
            <v>0</v>
          </cell>
          <cell r="BE4">
            <v>0</v>
          </cell>
          <cell r="BF4">
            <v>0</v>
          </cell>
          <cell r="BG4">
            <v>0</v>
          </cell>
          <cell r="BH4" t="str">
            <v>Run Date:</v>
          </cell>
          <cell r="BI4">
            <v>35268.702116898145</v>
          </cell>
          <cell r="BJ4">
            <v>0</v>
          </cell>
          <cell r="BK4">
            <v>0</v>
          </cell>
          <cell r="BL4">
            <v>0</v>
          </cell>
          <cell r="BM4">
            <v>0</v>
          </cell>
          <cell r="BN4">
            <v>0</v>
          </cell>
          <cell r="BO4">
            <v>0</v>
          </cell>
          <cell r="BP4">
            <v>0</v>
          </cell>
          <cell r="BQ4">
            <v>0</v>
          </cell>
          <cell r="BR4" t="str">
            <v>Run Date:</v>
          </cell>
          <cell r="BS4">
            <v>35268.702116898145</v>
          </cell>
          <cell r="BT4">
            <v>0</v>
          </cell>
          <cell r="BU4">
            <v>0</v>
          </cell>
          <cell r="BV4">
            <v>0</v>
          </cell>
          <cell r="BW4">
            <v>0</v>
          </cell>
          <cell r="BX4">
            <v>0</v>
          </cell>
          <cell r="BY4">
            <v>0</v>
          </cell>
          <cell r="BZ4">
            <v>0</v>
          </cell>
          <cell r="CA4">
            <v>0</v>
          </cell>
          <cell r="CB4" t="str">
            <v>Run Date:</v>
          </cell>
          <cell r="CC4">
            <v>35268.702116898145</v>
          </cell>
          <cell r="CD4">
            <v>0</v>
          </cell>
          <cell r="CE4">
            <v>0</v>
          </cell>
          <cell r="CF4">
            <v>0</v>
          </cell>
          <cell r="CG4">
            <v>0</v>
          </cell>
          <cell r="CH4">
            <v>0</v>
          </cell>
          <cell r="CI4">
            <v>0</v>
          </cell>
          <cell r="CJ4">
            <v>0</v>
          </cell>
          <cell r="CK4">
            <v>0</v>
          </cell>
          <cell r="CL4" t="str">
            <v>Run Date:</v>
          </cell>
          <cell r="CM4">
            <v>35268.702116898145</v>
          </cell>
          <cell r="CN4">
            <v>0</v>
          </cell>
          <cell r="CO4">
            <v>0</v>
          </cell>
          <cell r="CP4">
            <v>0</v>
          </cell>
          <cell r="CQ4">
            <v>0</v>
          </cell>
          <cell r="CR4">
            <v>0</v>
          </cell>
          <cell r="CS4">
            <v>0</v>
          </cell>
          <cell r="CT4">
            <v>0</v>
          </cell>
          <cell r="CU4">
            <v>0</v>
          </cell>
          <cell r="CV4" t="str">
            <v>Run Date:</v>
          </cell>
          <cell r="CW4">
            <v>35268.702116898145</v>
          </cell>
          <cell r="DH4">
            <v>0</v>
          </cell>
          <cell r="DI4">
            <v>0</v>
          </cell>
          <cell r="DJ4">
            <v>0</v>
          </cell>
          <cell r="DK4">
            <v>0</v>
          </cell>
          <cell r="DL4">
            <v>0</v>
          </cell>
          <cell r="DM4">
            <v>0</v>
          </cell>
          <cell r="DN4">
            <v>0</v>
          </cell>
          <cell r="DO4">
            <v>0</v>
          </cell>
          <cell r="DP4" t="str">
            <v>Run Date:</v>
          </cell>
          <cell r="DQ4">
            <v>35268.702116898145</v>
          </cell>
          <cell r="DR4">
            <v>0</v>
          </cell>
          <cell r="DS4">
            <v>0</v>
          </cell>
          <cell r="DT4">
            <v>0</v>
          </cell>
          <cell r="DU4">
            <v>0</v>
          </cell>
          <cell r="DV4">
            <v>0</v>
          </cell>
          <cell r="DW4">
            <v>0</v>
          </cell>
          <cell r="DX4">
            <v>0</v>
          </cell>
          <cell r="DY4">
            <v>0</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G16">
            <v>14.267973856209151</v>
          </cell>
          <cell r="H16">
            <v>14.509803921568627</v>
          </cell>
          <cell r="I16">
            <v>14.267973856209151</v>
          </cell>
          <cell r="J16">
            <v>14.509803921568627</v>
          </cell>
          <cell r="K16">
            <v>694.96193771626292</v>
          </cell>
          <cell r="L16">
            <v>561</v>
          </cell>
          <cell r="M16">
            <v>4.9607843137254903</v>
          </cell>
          <cell r="N16">
            <v>489.1764705882353</v>
          </cell>
          <cell r="O16">
            <v>12.078431372549019</v>
          </cell>
          <cell r="P16">
            <v>29.117647058823529</v>
          </cell>
          <cell r="Q16" t="e">
            <v>#REF!</v>
          </cell>
          <cell r="R16" t="e">
            <v>#REF!</v>
          </cell>
          <cell r="S16">
            <v>12.725490196078431</v>
          </cell>
          <cell r="T16">
            <v>12.941176470588236</v>
          </cell>
          <cell r="U16" t="e">
            <v>#REF!</v>
          </cell>
          <cell r="V16">
            <v>797</v>
          </cell>
          <cell r="W16">
            <v>7.0476739715494041</v>
          </cell>
          <cell r="X16">
            <v>694.96193771626292</v>
          </cell>
          <cell r="Y16">
            <v>17.159554017685505</v>
          </cell>
          <cell r="Z16">
            <v>41.366782006920417</v>
          </cell>
          <cell r="AA16">
            <v>31.868512110726645</v>
          </cell>
          <cell r="AB16">
            <v>13.927720107650904</v>
          </cell>
          <cell r="AC16">
            <v>18.078815840061516</v>
          </cell>
          <cell r="AD16">
            <v>18.385236447520185</v>
          </cell>
          <cell r="AE16">
            <v>0</v>
          </cell>
          <cell r="AF16">
            <v>1336</v>
          </cell>
          <cell r="AG16">
            <v>11.813917723952326</v>
          </cell>
          <cell r="AH16">
            <v>1164.955017301038</v>
          </cell>
          <cell r="AI16">
            <v>28.764321414840445</v>
          </cell>
          <cell r="AJ16">
            <v>69.34256055363322</v>
          </cell>
          <cell r="AK16">
            <v>614</v>
          </cell>
          <cell r="AL16">
            <v>5.4294502114571319</v>
          </cell>
          <cell r="AM16">
            <v>30.305267204921183</v>
          </cell>
          <cell r="AN16">
            <v>30.818915801614764</v>
          </cell>
          <cell r="AO16">
            <v>31.868512110726645</v>
          </cell>
          <cell r="AP16">
            <v>729</v>
          </cell>
          <cell r="AQ16">
            <v>6.4463667820069208</v>
          </cell>
          <cell r="AR16">
            <v>635.66782006920414</v>
          </cell>
          <cell r="AS16">
            <v>15.695501730103807</v>
          </cell>
          <cell r="AT16">
            <v>37.837370242214533</v>
          </cell>
          <cell r="AU16">
            <v>0</v>
          </cell>
          <cell r="AV16">
            <v>0</v>
          </cell>
          <cell r="AW16">
            <v>16.536332179930795</v>
          </cell>
          <cell r="AX16">
            <v>16.816608996539792</v>
          </cell>
          <cell r="AY16">
            <v>0</v>
          </cell>
          <cell r="AZ16">
            <v>614</v>
          </cell>
          <cell r="BA16">
            <v>5.4294502114571319</v>
          </cell>
          <cell r="BB16">
            <v>535.39100346020757</v>
          </cell>
          <cell r="BC16">
            <v>13.219530949634756</v>
          </cell>
          <cell r="BD16">
            <v>31.868512110726645</v>
          </cell>
          <cell r="BE16">
            <v>0</v>
          </cell>
          <cell r="BF16">
            <v>0</v>
          </cell>
          <cell r="BG16">
            <v>13.927720107650904</v>
          </cell>
          <cell r="BH16">
            <v>14.163783160322954</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41.260284505959248</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G44">
            <v>195.54079168909749</v>
          </cell>
          <cell r="H44">
            <v>275.55120801318168</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Q44" t="e">
            <v>#REF!</v>
          </cell>
          <cell r="R44" t="e">
            <v>#REF!</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A44">
            <v>185.25245835576416</v>
          </cell>
          <cell r="AB44">
            <v>3484.8872497104317</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K44">
            <v>210.6790451801825</v>
          </cell>
          <cell r="AL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U44">
            <v>0</v>
          </cell>
          <cell r="AV44">
            <v>0</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E44">
            <v>0</v>
          </cell>
          <cell r="BF44">
            <v>0</v>
          </cell>
          <cell r="BG44">
            <v>198.51579168909748</v>
          </cell>
          <cell r="BH44">
            <v>286.52696558893928</v>
          </cell>
          <cell r="BI44">
            <v>2534.4626772111087</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G47">
            <v>198.66258840601</v>
          </cell>
          <cell r="H47">
            <v>198.66258840601</v>
          </cell>
          <cell r="I47">
            <v>198.66258840601</v>
          </cell>
          <cell r="J47">
            <v>198.66258840601</v>
          </cell>
          <cell r="K47">
            <v>-3973.2517681201998</v>
          </cell>
          <cell r="L47" t="e">
            <v>#REF!</v>
          </cell>
          <cell r="M47">
            <v>199.37313386055544</v>
          </cell>
          <cell r="N47">
            <v>2392.477606326665</v>
          </cell>
          <cell r="O47">
            <v>598.11940158166624</v>
          </cell>
          <cell r="P47">
            <v>398.74626772111088</v>
          </cell>
          <cell r="Q47" t="e">
            <v>#REF!</v>
          </cell>
          <cell r="R47" t="e">
            <v>#REF!</v>
          </cell>
          <cell r="S47">
            <v>199.37313386055544</v>
          </cell>
          <cell r="T47">
            <v>199.37313386055544</v>
          </cell>
          <cell r="U47">
            <v>-3987.4626772111087</v>
          </cell>
          <cell r="V47">
            <v>206.02313386055545</v>
          </cell>
          <cell r="W47">
            <v>201.74813386055544</v>
          </cell>
          <cell r="X47">
            <v>2420.977606326665</v>
          </cell>
          <cell r="Y47">
            <v>605.24440158166624</v>
          </cell>
          <cell r="Z47">
            <v>403.49626772111088</v>
          </cell>
          <cell r="AA47">
            <v>2480.0776063266653</v>
          </cell>
          <cell r="AB47">
            <v>620.01940158166633</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K47">
            <v>206.02313386055545</v>
          </cell>
          <cell r="AL47">
            <v>206.02313386055545</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U47">
            <v>0</v>
          </cell>
          <cell r="AV47">
            <v>0</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E47">
            <v>0</v>
          </cell>
          <cell r="BF47">
            <v>0</v>
          </cell>
          <cell r="BG47">
            <v>206.67313386055545</v>
          </cell>
          <cell r="BH47">
            <v>206.67313386055545</v>
          </cell>
          <cell r="BI47">
            <v>-4133.4626772111087</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1217.8282577087873</v>
          </cell>
          <cell r="DT47">
            <v>14613.939092505445</v>
          </cell>
          <cell r="DU47">
            <v>3653.4847731263612</v>
          </cell>
          <cell r="DV47">
            <v>2435.6565154175746</v>
          </cell>
          <cell r="DW47">
            <v>0</v>
          </cell>
          <cell r="DX47">
            <v>0</v>
          </cell>
          <cell r="DY47">
            <v>1217.8282577087873</v>
          </cell>
          <cell r="DZ47">
            <v>1217.8282577087873</v>
          </cell>
          <cell r="EA47">
            <v>-24356.565154175743</v>
          </cell>
        </row>
        <row r="48">
          <cell r="C48">
            <v>709.10464702917159</v>
          </cell>
          <cell r="D48">
            <v>-1418.2092940583432</v>
          </cell>
          <cell r="E48">
            <v>-1418.2092940583432</v>
          </cell>
          <cell r="F48">
            <v>713.54150038976718</v>
          </cell>
          <cell r="G48">
            <v>-1427.0830007795344</v>
          </cell>
          <cell r="H48">
            <v>713.54150038976718</v>
          </cell>
          <cell r="I48">
            <v>709.10464702917159</v>
          </cell>
          <cell r="J48">
            <v>1438.4439484919526</v>
          </cell>
          <cell r="K48">
            <v>-1438.4439484919526</v>
          </cell>
          <cell r="L48" t="e">
            <v>#REF!</v>
          </cell>
          <cell r="M48">
            <v>707.43843906719894</v>
          </cell>
          <cell r="N48" t="e">
            <v>#REF!</v>
          </cell>
          <cell r="O48">
            <v>-1414.8768781343979</v>
          </cell>
          <cell r="P48" t="e">
            <v>#REF!</v>
          </cell>
          <cell r="Q48" t="e">
            <v>#REF!</v>
          </cell>
          <cell r="R48" t="e">
            <v>#REF!</v>
          </cell>
          <cell r="S48">
            <v>707.43843906719894</v>
          </cell>
          <cell r="T48" t="e">
            <v>#REF!</v>
          </cell>
          <cell r="U48" t="e">
            <v>#REF!</v>
          </cell>
          <cell r="V48">
            <v>0</v>
          </cell>
          <cell r="W48">
            <v>713.54150038976718</v>
          </cell>
          <cell r="X48">
            <v>0</v>
          </cell>
          <cell r="Y48">
            <v>-1427.0830007795344</v>
          </cell>
          <cell r="Z48">
            <v>0</v>
          </cell>
          <cell r="AA48">
            <v>0</v>
          </cell>
          <cell r="AB48">
            <v>0</v>
          </cell>
          <cell r="AC48">
            <v>713.54150038976718</v>
          </cell>
          <cell r="AD48">
            <v>0</v>
          </cell>
          <cell r="AE48">
            <v>0</v>
          </cell>
          <cell r="AF48">
            <v>0</v>
          </cell>
          <cell r="AG48">
            <v>1449.4877681766893</v>
          </cell>
          <cell r="AH48">
            <v>0</v>
          </cell>
          <cell r="AI48">
            <v>-1449.4877681766893</v>
          </cell>
          <cell r="AJ48">
            <v>0</v>
          </cell>
          <cell r="AK48">
            <v>0</v>
          </cell>
          <cell r="AL48">
            <v>0</v>
          </cell>
          <cell r="AM48">
            <v>4301.3094336762006</v>
          </cell>
          <cell r="AN48">
            <v>-8602.6188673524011</v>
          </cell>
          <cell r="AO48">
            <v>4301.3094336762006</v>
          </cell>
          <cell r="AP48">
            <v>0</v>
          </cell>
          <cell r="AQ48">
            <v>1438.4439484919526</v>
          </cell>
          <cell r="AR48">
            <v>0</v>
          </cell>
          <cell r="AS48">
            <v>-1438.4439484919526</v>
          </cell>
          <cell r="AT48">
            <v>0</v>
          </cell>
          <cell r="AU48">
            <v>0</v>
          </cell>
          <cell r="AV48">
            <v>0</v>
          </cell>
          <cell r="AW48">
            <v>0</v>
          </cell>
          <cell r="AX48">
            <v>0</v>
          </cell>
          <cell r="AY48">
            <v>0</v>
          </cell>
          <cell r="AZ48">
            <v>0</v>
          </cell>
          <cell r="BA48">
            <v>1454.5179777114836</v>
          </cell>
          <cell r="BB48">
            <v>0</v>
          </cell>
          <cell r="BC48">
            <v>-1454.5179777114836</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4301.3094336762006</v>
          </cell>
          <cell r="DT48">
            <v>0</v>
          </cell>
          <cell r="DU48">
            <v>-8602.6188673524011</v>
          </cell>
          <cell r="DV48">
            <v>0</v>
          </cell>
          <cell r="DW48">
            <v>0</v>
          </cell>
          <cell r="DX48">
            <v>0</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ow r="2">
          <cell r="B2" t="str">
            <v xml:space="preserve">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K3" t="str">
            <v>FOR THE MONTH ENDED JANUARY 1995</v>
          </cell>
        </row>
      </sheetData>
      <sheetData sheetId="91">
        <row r="3">
          <cell r="K3" t="str">
            <v>FOR THE MONTH ENDED JANUARY 1995</v>
          </cell>
        </row>
      </sheetData>
      <sheetData sheetId="92">
        <row r="3">
          <cell r="K3" t="str">
            <v>FOR THE MONTH ENDED JANUARY 1995</v>
          </cell>
        </row>
      </sheetData>
      <sheetData sheetId="93">
        <row r="2">
          <cell r="L2">
            <v>0</v>
          </cell>
        </row>
      </sheetData>
      <sheetData sheetId="94">
        <row r="3">
          <cell r="K3" t="str">
            <v>FOR THE MONTH ENDED JANUARY 1995</v>
          </cell>
        </row>
      </sheetData>
      <sheetData sheetId="95">
        <row r="3">
          <cell r="K3" t="str">
            <v>FOR THE MONTH ENDED JANUARY 1995</v>
          </cell>
        </row>
      </sheetData>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 xml:space="preserve">STYLE </v>
          </cell>
        </row>
      </sheetData>
      <sheetData sheetId="110">
        <row r="2">
          <cell r="B2" t="str">
            <v xml:space="preserve">STYLE </v>
          </cell>
        </row>
      </sheetData>
      <sheetData sheetId="111">
        <row r="2">
          <cell r="B2" t="str">
            <v xml:space="preserve">STYLE </v>
          </cell>
        </row>
      </sheetData>
      <sheetData sheetId="112">
        <row r="2">
          <cell r="B2" t="str">
            <v xml:space="preserve">STYLE </v>
          </cell>
        </row>
      </sheetData>
      <sheetData sheetId="113">
        <row r="2">
          <cell r="B2" t="str">
            <v xml:space="preserve">STYLE </v>
          </cell>
        </row>
      </sheetData>
      <sheetData sheetId="114">
        <row r="2">
          <cell r="B2" t="str">
            <v xml:space="preserve">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 xml:space="preserve">STYLE </v>
          </cell>
        </row>
      </sheetData>
      <sheetData sheetId="126">
        <row r="2">
          <cell r="B2" t="str">
            <v xml:space="preserve">STYLE </v>
          </cell>
        </row>
      </sheetData>
      <sheetData sheetId="127">
        <row r="2">
          <cell r="B2" t="str">
            <v xml:space="preserve">STYLE </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ow r="2">
          <cell r="B2" t="str">
            <v xml:space="preserve">STYLE </v>
          </cell>
        </row>
      </sheetData>
      <sheetData sheetId="157">
        <row r="2">
          <cell r="B2" t="str">
            <v xml:space="preserve">STYLE </v>
          </cell>
        </row>
      </sheetData>
      <sheetData sheetId="158">
        <row r="2">
          <cell r="B2" t="str">
            <v xml:space="preserve">STYLE </v>
          </cell>
        </row>
      </sheetData>
      <sheetData sheetId="159">
        <row r="2">
          <cell r="B2" t="str">
            <v xml:space="preserve">STYLE </v>
          </cell>
        </row>
      </sheetData>
      <sheetData sheetId="160">
        <row r="2">
          <cell r="B2" t="str">
            <v xml:space="preserve">STYLE </v>
          </cell>
        </row>
      </sheetData>
      <sheetData sheetId="161">
        <row r="2">
          <cell r="B2" t="str">
            <v xml:space="preserve">STYLE </v>
          </cell>
        </row>
      </sheetData>
      <sheetData sheetId="162">
        <row r="2">
          <cell r="B2" t="str">
            <v xml:space="preserve">STYLE </v>
          </cell>
        </row>
      </sheetData>
      <sheetData sheetId="163">
        <row r="2">
          <cell r="B2" t="str">
            <v xml:space="preserve">STYLE </v>
          </cell>
        </row>
      </sheetData>
      <sheetData sheetId="164">
        <row r="2">
          <cell r="B2" t="str">
            <v xml:space="preserve">STYLE </v>
          </cell>
        </row>
      </sheetData>
      <sheetData sheetId="165">
        <row r="2">
          <cell r="B2" t="str">
            <v xml:space="preserve">STYLE </v>
          </cell>
        </row>
      </sheetData>
      <sheetData sheetId="166">
        <row r="2">
          <cell r="B2" t="str">
            <v xml:space="preserve">STYLE </v>
          </cell>
        </row>
      </sheetData>
      <sheetData sheetId="167">
        <row r="2">
          <cell r="B2" t="str">
            <v xml:space="preserve">STYLE </v>
          </cell>
        </row>
      </sheetData>
      <sheetData sheetId="168">
        <row r="2">
          <cell r="B2" t="str">
            <v xml:space="preserve">STYLE </v>
          </cell>
        </row>
      </sheetData>
      <sheetData sheetId="169">
        <row r="2">
          <cell r="B2" t="str">
            <v xml:space="preserve">STYLE </v>
          </cell>
        </row>
      </sheetData>
      <sheetData sheetId="170">
        <row r="2">
          <cell r="B2" t="str">
            <v xml:space="preserve">STYLE </v>
          </cell>
        </row>
      </sheetData>
      <sheetData sheetId="171">
        <row r="2">
          <cell r="B2" t="str">
            <v xml:space="preserve">STYLE </v>
          </cell>
        </row>
      </sheetData>
      <sheetData sheetId="172">
        <row r="2">
          <cell r="B2" t="str">
            <v xml:space="preserve">STYLE </v>
          </cell>
        </row>
      </sheetData>
      <sheetData sheetId="173">
        <row r="2">
          <cell r="B2" t="str">
            <v xml:space="preserve">STYLE </v>
          </cell>
        </row>
      </sheetData>
      <sheetData sheetId="174">
        <row r="2">
          <cell r="B2" t="str">
            <v xml:space="preserve">STYLE </v>
          </cell>
        </row>
      </sheetData>
      <sheetData sheetId="175">
        <row r="2">
          <cell r="B2" t="str">
            <v xml:space="preserve">STYLE </v>
          </cell>
        </row>
      </sheetData>
      <sheetData sheetId="176">
        <row r="2">
          <cell r="B2" t="str">
            <v xml:space="preserve">STYLE </v>
          </cell>
        </row>
      </sheetData>
      <sheetData sheetId="177">
        <row r="2">
          <cell r="B2" t="str">
            <v xml:space="preserve">STYLE </v>
          </cell>
        </row>
      </sheetData>
      <sheetData sheetId="178">
        <row r="2">
          <cell r="B2" t="str">
            <v xml:space="preserve">STYLE </v>
          </cell>
        </row>
      </sheetData>
      <sheetData sheetId="179">
        <row r="2">
          <cell r="B2" t="str">
            <v xml:space="preserve">STYLE </v>
          </cell>
        </row>
      </sheetData>
      <sheetData sheetId="180">
        <row r="2">
          <cell r="B2" t="str">
            <v xml:space="preserve">STYLE </v>
          </cell>
        </row>
      </sheetData>
      <sheetData sheetId="181">
        <row r="2">
          <cell r="B2" t="str">
            <v xml:space="preserve">STYLE </v>
          </cell>
        </row>
      </sheetData>
      <sheetData sheetId="182">
        <row r="2">
          <cell r="B2" t="str">
            <v xml:space="preserve">STYLE </v>
          </cell>
        </row>
      </sheetData>
      <sheetData sheetId="183">
        <row r="2">
          <cell r="B2" t="str">
            <v xml:space="preserve">STYLE </v>
          </cell>
        </row>
      </sheetData>
      <sheetData sheetId="184">
        <row r="2">
          <cell r="B2" t="str">
            <v xml:space="preserve">STYLE </v>
          </cell>
        </row>
      </sheetData>
      <sheetData sheetId="185">
        <row r="2">
          <cell r="B2" t="str">
            <v xml:space="preserve">STYLE </v>
          </cell>
        </row>
      </sheetData>
      <sheetData sheetId="186">
        <row r="2">
          <cell r="B2" t="str">
            <v xml:space="preserve">STYLE </v>
          </cell>
        </row>
      </sheetData>
      <sheetData sheetId="187">
        <row r="2">
          <cell r="B2" t="str">
            <v xml:space="preserve">STYLE </v>
          </cell>
        </row>
      </sheetData>
      <sheetData sheetId="188">
        <row r="2">
          <cell r="B2" t="str">
            <v xml:space="preserve">STYLE </v>
          </cell>
        </row>
      </sheetData>
      <sheetData sheetId="189">
        <row r="2">
          <cell r="B2" t="str">
            <v xml:space="preserve">STYLE </v>
          </cell>
        </row>
      </sheetData>
      <sheetData sheetId="190">
        <row r="2">
          <cell r="B2" t="str">
            <v xml:space="preserve">STYLE </v>
          </cell>
        </row>
      </sheetData>
      <sheetData sheetId="191">
        <row r="2">
          <cell r="B2" t="str">
            <v xml:space="preserve">STYLE </v>
          </cell>
        </row>
      </sheetData>
      <sheetData sheetId="192">
        <row r="2">
          <cell r="B2" t="str">
            <v xml:space="preserve">STYLE </v>
          </cell>
        </row>
      </sheetData>
      <sheetData sheetId="193">
        <row r="2">
          <cell r="B2" t="str">
            <v xml:space="preserve">STYLE </v>
          </cell>
        </row>
      </sheetData>
      <sheetData sheetId="194">
        <row r="2">
          <cell r="B2" t="str">
            <v xml:space="preserve">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 xml:space="preserve">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 xml:space="preserve">STYLE </v>
          </cell>
        </row>
      </sheetData>
      <sheetData sheetId="243">
        <row r="2">
          <cell r="B2" t="str">
            <v xml:space="preserve">STYLE </v>
          </cell>
        </row>
      </sheetData>
      <sheetData sheetId="244">
        <row r="2">
          <cell r="B2" t="str">
            <v xml:space="preserve">STYLE </v>
          </cell>
        </row>
      </sheetData>
      <sheetData sheetId="245">
        <row r="2">
          <cell r="B2" t="str">
            <v xml:space="preserve">STYLE </v>
          </cell>
        </row>
      </sheetData>
      <sheetData sheetId="246">
        <row r="2">
          <cell r="B2" t="str">
            <v xml:space="preserve">STYLE </v>
          </cell>
        </row>
      </sheetData>
      <sheetData sheetId="247">
        <row r="2">
          <cell r="B2" t="str">
            <v xml:space="preserve">STYLE </v>
          </cell>
        </row>
      </sheetData>
      <sheetData sheetId="248"/>
      <sheetData sheetId="249"/>
      <sheetData sheetId="250"/>
      <sheetData sheetId="251"/>
      <sheetData sheetId="252"/>
      <sheetData sheetId="253">
        <row r="2">
          <cell r="B2" t="str">
            <v xml:space="preserve">STYLE </v>
          </cell>
        </row>
      </sheetData>
      <sheetData sheetId="254">
        <row r="2">
          <cell r="B2" t="str">
            <v xml:space="preserve">STYLE </v>
          </cell>
        </row>
      </sheetData>
      <sheetData sheetId="255">
        <row r="2">
          <cell r="B2" t="str">
            <v xml:space="preserve">STYLE </v>
          </cell>
        </row>
      </sheetData>
      <sheetData sheetId="256">
        <row r="2">
          <cell r="B2" t="str">
            <v xml:space="preserve">STYLE </v>
          </cell>
        </row>
      </sheetData>
      <sheetData sheetId="257">
        <row r="2">
          <cell r="B2" t="str">
            <v xml:space="preserve">STYLE </v>
          </cell>
        </row>
      </sheetData>
      <sheetData sheetId="258">
        <row r="2">
          <cell r="B2" t="str">
            <v xml:space="preserve">STYLE </v>
          </cell>
        </row>
      </sheetData>
      <sheetData sheetId="259">
        <row r="2">
          <cell r="B2" t="str">
            <v xml:space="preserve">STYLE </v>
          </cell>
        </row>
      </sheetData>
      <sheetData sheetId="260">
        <row r="2">
          <cell r="B2" t="str">
            <v xml:space="preserve">STYLE </v>
          </cell>
        </row>
      </sheetData>
      <sheetData sheetId="261">
        <row r="2">
          <cell r="B2" t="str">
            <v xml:space="preserve">STYLE </v>
          </cell>
        </row>
      </sheetData>
      <sheetData sheetId="262">
        <row r="2">
          <cell r="B2" t="str">
            <v xml:space="preserve">STYLE </v>
          </cell>
        </row>
      </sheetData>
      <sheetData sheetId="263">
        <row r="2">
          <cell r="B2" t="str">
            <v xml:space="preserve">STYLE </v>
          </cell>
        </row>
      </sheetData>
      <sheetData sheetId="264">
        <row r="2">
          <cell r="B2" t="str">
            <v xml:space="preserve">STYLE </v>
          </cell>
        </row>
      </sheetData>
      <sheetData sheetId="265" refreshError="1"/>
      <sheetData sheetId="266" refreshError="1"/>
      <sheetData sheetId="267" refreshError="1"/>
      <sheetData sheetId="268">
        <row r="2">
          <cell r="B2" t="str">
            <v xml:space="preserve">STYLE </v>
          </cell>
        </row>
      </sheetData>
      <sheetData sheetId="269">
        <row r="2">
          <cell r="B2" t="str">
            <v xml:space="preserve">STYLE </v>
          </cell>
        </row>
      </sheetData>
      <sheetData sheetId="270">
        <row r="2">
          <cell r="B2" t="str">
            <v xml:space="preserve">STYLE </v>
          </cell>
        </row>
      </sheetData>
      <sheetData sheetId="271">
        <row r="2">
          <cell r="B2" t="str">
            <v xml:space="preserve">STYLE </v>
          </cell>
        </row>
      </sheetData>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row r="2">
          <cell r="B2" t="str">
            <v xml:space="preserve">STYLE </v>
          </cell>
        </row>
      </sheetData>
      <sheetData sheetId="278">
        <row r="2">
          <cell r="B2" t="str">
            <v xml:space="preserve">STYLE </v>
          </cell>
        </row>
      </sheetData>
      <sheetData sheetId="279">
        <row r="2">
          <cell r="B2" t="str">
            <v xml:space="preserve">STYLE </v>
          </cell>
        </row>
      </sheetData>
      <sheetData sheetId="280">
        <row r="2">
          <cell r="B2" t="str">
            <v xml:space="preserve">STYLE </v>
          </cell>
        </row>
      </sheetData>
      <sheetData sheetId="281">
        <row r="2">
          <cell r="B2" t="str">
            <v xml:space="preserve">STYLE </v>
          </cell>
        </row>
      </sheetData>
      <sheetData sheetId="282"/>
      <sheetData sheetId="283">
        <row r="2">
          <cell r="C2" t="str">
            <v>Total Project Cost</v>
          </cell>
        </row>
      </sheetData>
      <sheetData sheetId="284">
        <row r="2">
          <cell r="B2" t="str">
            <v xml:space="preserve">STYLE </v>
          </cell>
        </row>
      </sheetData>
      <sheetData sheetId="285">
        <row r="2">
          <cell r="B2" t="str">
            <v xml:space="preserve">STYLE </v>
          </cell>
        </row>
      </sheetData>
      <sheetData sheetId="286">
        <row r="2">
          <cell r="B2" t="str">
            <v xml:space="preserve">STYLE </v>
          </cell>
        </row>
      </sheetData>
      <sheetData sheetId="287">
        <row r="2">
          <cell r="B2" t="str">
            <v xml:space="preserve">STYLE </v>
          </cell>
        </row>
      </sheetData>
      <sheetData sheetId="288">
        <row r="2">
          <cell r="B2" t="str">
            <v xml:space="preserve">STYLE </v>
          </cell>
        </row>
      </sheetData>
      <sheetData sheetId="289">
        <row r="2">
          <cell r="B2" t="str">
            <v xml:space="preserve">STYLE </v>
          </cell>
        </row>
      </sheetData>
      <sheetData sheetId="290">
        <row r="2">
          <cell r="B2" t="str">
            <v xml:space="preserve">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ow r="2">
          <cell r="B2" t="str">
            <v xml:space="preserve">STYLE </v>
          </cell>
        </row>
      </sheetData>
      <sheetData sheetId="317">
        <row r="2">
          <cell r="B2" t="str">
            <v xml:space="preserve">STYLE </v>
          </cell>
        </row>
      </sheetData>
      <sheetData sheetId="318"/>
      <sheetData sheetId="319"/>
      <sheetData sheetId="320"/>
      <sheetData sheetId="321"/>
      <sheetData sheetId="322"/>
      <sheetData sheetId="323"/>
      <sheetData sheetId="324"/>
      <sheetData sheetId="325">
        <row r="2">
          <cell r="B2" t="str">
            <v xml:space="preserve">STYLE </v>
          </cell>
        </row>
      </sheetData>
      <sheetData sheetId="326">
        <row r="2">
          <cell r="B2" t="str">
            <v xml:space="preserve">STYLE </v>
          </cell>
        </row>
      </sheetData>
      <sheetData sheetId="327">
        <row r="2">
          <cell r="B2" t="str">
            <v xml:space="preserve">STYLE </v>
          </cell>
        </row>
      </sheetData>
      <sheetData sheetId="328">
        <row r="2">
          <cell r="B2" t="str">
            <v xml:space="preserve">STYLE </v>
          </cell>
        </row>
      </sheetData>
      <sheetData sheetId="329">
        <row r="2">
          <cell r="B2" t="str">
            <v xml:space="preserve">STYLE </v>
          </cell>
        </row>
      </sheetData>
      <sheetData sheetId="330">
        <row r="2">
          <cell r="B2" t="str">
            <v xml:space="preserve">STYLE </v>
          </cell>
        </row>
      </sheetData>
      <sheetData sheetId="331">
        <row r="2">
          <cell r="B2" t="str">
            <v xml:space="preserve">STYLE </v>
          </cell>
        </row>
      </sheetData>
      <sheetData sheetId="332">
        <row r="2">
          <cell r="B2" t="str">
            <v xml:space="preserve">STYLE </v>
          </cell>
        </row>
      </sheetData>
      <sheetData sheetId="333">
        <row r="2">
          <cell r="B2" t="str">
            <v xml:space="preserve">STYLE </v>
          </cell>
        </row>
      </sheetData>
      <sheetData sheetId="334">
        <row r="2">
          <cell r="B2" t="str">
            <v xml:space="preserve">STYLE </v>
          </cell>
        </row>
      </sheetData>
      <sheetData sheetId="335">
        <row r="2">
          <cell r="B2" t="str">
            <v xml:space="preserve">STYLE </v>
          </cell>
        </row>
      </sheetData>
      <sheetData sheetId="336">
        <row r="2">
          <cell r="B2" t="str">
            <v xml:space="preserve">STYLE </v>
          </cell>
        </row>
      </sheetData>
      <sheetData sheetId="337">
        <row r="2">
          <cell r="B2" t="str">
            <v xml:space="preserve">STYLE </v>
          </cell>
        </row>
      </sheetData>
      <sheetData sheetId="338">
        <row r="2">
          <cell r="B2" t="str">
            <v xml:space="preserve">STYLE </v>
          </cell>
        </row>
      </sheetData>
      <sheetData sheetId="339">
        <row r="2">
          <cell r="B2" t="str">
            <v xml:space="preserve">STYLE </v>
          </cell>
        </row>
      </sheetData>
      <sheetData sheetId="340">
        <row r="2">
          <cell r="B2" t="str">
            <v xml:space="preserve">STYLE </v>
          </cell>
        </row>
      </sheetData>
      <sheetData sheetId="341">
        <row r="2">
          <cell r="B2" t="str">
            <v xml:space="preserve">STYLE </v>
          </cell>
        </row>
      </sheetData>
      <sheetData sheetId="342">
        <row r="2">
          <cell r="B2" t="str">
            <v xml:space="preserve">STYLE </v>
          </cell>
        </row>
      </sheetData>
      <sheetData sheetId="343">
        <row r="2">
          <cell r="B2" t="str">
            <v xml:space="preserve">STYLE </v>
          </cell>
        </row>
      </sheetData>
      <sheetData sheetId="344">
        <row r="2">
          <cell r="B2" t="str">
            <v xml:space="preserve">STYLE </v>
          </cell>
        </row>
      </sheetData>
      <sheetData sheetId="345">
        <row r="2">
          <cell r="B2" t="str">
            <v xml:space="preserve">STYLE </v>
          </cell>
        </row>
      </sheetData>
      <sheetData sheetId="346">
        <row r="2">
          <cell r="B2" t="str">
            <v xml:space="preserve">STYLE </v>
          </cell>
        </row>
      </sheetData>
      <sheetData sheetId="347">
        <row r="2">
          <cell r="B2" t="str">
            <v xml:space="preserve">STYLE </v>
          </cell>
        </row>
      </sheetData>
      <sheetData sheetId="348">
        <row r="2">
          <cell r="B2" t="str">
            <v xml:space="preserve">STYLE </v>
          </cell>
        </row>
      </sheetData>
      <sheetData sheetId="349">
        <row r="2">
          <cell r="B2" t="str">
            <v xml:space="preserve">STYLE </v>
          </cell>
        </row>
      </sheetData>
      <sheetData sheetId="350">
        <row r="2">
          <cell r="B2" t="str">
            <v xml:space="preserve">STYLE </v>
          </cell>
        </row>
      </sheetData>
      <sheetData sheetId="351">
        <row r="2">
          <cell r="B2" t="str">
            <v xml:space="preserve">STYLE </v>
          </cell>
        </row>
      </sheetData>
      <sheetData sheetId="352">
        <row r="2">
          <cell r="B2" t="str">
            <v xml:space="preserve">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2">
          <cell r="B2" t="str">
            <v xml:space="preserve">STYLE </v>
          </cell>
        </row>
      </sheetData>
      <sheetData sheetId="379">
        <row r="2">
          <cell r="B2" t="str">
            <v xml:space="preserve">STYLE </v>
          </cell>
        </row>
      </sheetData>
      <sheetData sheetId="380"/>
      <sheetData sheetId="381"/>
      <sheetData sheetId="382"/>
      <sheetData sheetId="383"/>
      <sheetData sheetId="384"/>
      <sheetData sheetId="385"/>
      <sheetData sheetId="386">
        <row r="2">
          <cell r="B2" t="str">
            <v xml:space="preserve">STYLE </v>
          </cell>
        </row>
      </sheetData>
      <sheetData sheetId="387">
        <row r="2">
          <cell r="B2" t="str">
            <v xml:space="preserve">STYLE </v>
          </cell>
        </row>
      </sheetData>
      <sheetData sheetId="388">
        <row r="2">
          <cell r="B2" t="str">
            <v xml:space="preserve">STYLE </v>
          </cell>
        </row>
      </sheetData>
      <sheetData sheetId="389">
        <row r="2">
          <cell r="B2" t="str">
            <v xml:space="preserve">STYLE </v>
          </cell>
        </row>
      </sheetData>
      <sheetData sheetId="390">
        <row r="2">
          <cell r="B2" t="str">
            <v xml:space="preserve">STYLE </v>
          </cell>
        </row>
      </sheetData>
      <sheetData sheetId="391">
        <row r="2">
          <cell r="B2" t="str">
            <v xml:space="preserve">STYLE </v>
          </cell>
        </row>
      </sheetData>
      <sheetData sheetId="392">
        <row r="2">
          <cell r="B2" t="str">
            <v xml:space="preserve">STYLE </v>
          </cell>
        </row>
      </sheetData>
      <sheetData sheetId="393">
        <row r="2">
          <cell r="B2" t="str">
            <v xml:space="preserve">STYLE </v>
          </cell>
        </row>
      </sheetData>
      <sheetData sheetId="394">
        <row r="2">
          <cell r="B2" t="str">
            <v xml:space="preserve">STYLE </v>
          </cell>
        </row>
      </sheetData>
      <sheetData sheetId="395">
        <row r="2">
          <cell r="B2" t="str">
            <v xml:space="preserve">STYLE </v>
          </cell>
        </row>
      </sheetData>
      <sheetData sheetId="396">
        <row r="2">
          <cell r="B2" t="str">
            <v xml:space="preserve">STYLE </v>
          </cell>
        </row>
      </sheetData>
      <sheetData sheetId="397">
        <row r="2">
          <cell r="B2" t="str">
            <v xml:space="preserve">STYLE </v>
          </cell>
        </row>
      </sheetData>
      <sheetData sheetId="398">
        <row r="2">
          <cell r="B2" t="str">
            <v xml:space="preserve">STYLE </v>
          </cell>
        </row>
      </sheetData>
      <sheetData sheetId="399">
        <row r="2">
          <cell r="B2" t="str">
            <v xml:space="preserve">STYLE </v>
          </cell>
        </row>
      </sheetData>
      <sheetData sheetId="400">
        <row r="2">
          <cell r="B2" t="str">
            <v xml:space="preserve">STYLE </v>
          </cell>
        </row>
      </sheetData>
      <sheetData sheetId="401">
        <row r="2">
          <cell r="B2" t="str">
            <v xml:space="preserve">STYLE </v>
          </cell>
        </row>
      </sheetData>
      <sheetData sheetId="402">
        <row r="2">
          <cell r="B2" t="str">
            <v xml:space="preserve">STYLE </v>
          </cell>
        </row>
      </sheetData>
      <sheetData sheetId="403">
        <row r="2">
          <cell r="B2" t="str">
            <v xml:space="preserve">STYLE </v>
          </cell>
        </row>
      </sheetData>
      <sheetData sheetId="404">
        <row r="2">
          <cell r="B2" t="str">
            <v xml:space="preserve">STYLE </v>
          </cell>
        </row>
      </sheetData>
      <sheetData sheetId="405">
        <row r="2">
          <cell r="B2" t="str">
            <v xml:space="preserve">STYLE </v>
          </cell>
        </row>
      </sheetData>
      <sheetData sheetId="406">
        <row r="2">
          <cell r="B2" t="str">
            <v xml:space="preserve">STYLE </v>
          </cell>
        </row>
      </sheetData>
      <sheetData sheetId="407">
        <row r="2">
          <cell r="B2" t="str">
            <v xml:space="preserve">STYLE </v>
          </cell>
        </row>
      </sheetData>
      <sheetData sheetId="408">
        <row r="2">
          <cell r="B2" t="str">
            <v xml:space="preserve">STYLE </v>
          </cell>
        </row>
      </sheetData>
      <sheetData sheetId="409">
        <row r="2">
          <cell r="B2" t="str">
            <v xml:space="preserve">STYLE </v>
          </cell>
        </row>
      </sheetData>
      <sheetData sheetId="410">
        <row r="2">
          <cell r="B2" t="str">
            <v xml:space="preserve">STYLE </v>
          </cell>
        </row>
      </sheetData>
      <sheetData sheetId="411">
        <row r="2">
          <cell r="B2" t="str">
            <v xml:space="preserve">STYLE </v>
          </cell>
        </row>
      </sheetData>
      <sheetData sheetId="412">
        <row r="2">
          <cell r="B2" t="str">
            <v xml:space="preserve">STYLE </v>
          </cell>
        </row>
      </sheetData>
      <sheetData sheetId="413">
        <row r="2">
          <cell r="B2" t="str">
            <v xml:space="preserve">STYLE </v>
          </cell>
        </row>
      </sheetData>
      <sheetData sheetId="414">
        <row r="2">
          <cell r="B2" t="str">
            <v xml:space="preserve">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ow r="2">
          <cell r="B2" t="str">
            <v xml:space="preserve">STYLE </v>
          </cell>
        </row>
      </sheetData>
      <sheetData sheetId="441">
        <row r="2">
          <cell r="B2" t="str">
            <v xml:space="preserve">STYLE </v>
          </cell>
        </row>
      </sheetData>
      <sheetData sheetId="442"/>
      <sheetData sheetId="443"/>
      <sheetData sheetId="444"/>
      <sheetData sheetId="445"/>
      <sheetData sheetId="446"/>
      <sheetData sheetId="447"/>
      <sheetData sheetId="448">
        <row r="2">
          <cell r="B2" t="str">
            <v xml:space="preserve">STYLE </v>
          </cell>
        </row>
      </sheetData>
      <sheetData sheetId="449">
        <row r="2">
          <cell r="B2" t="str">
            <v xml:space="preserve">STYLE </v>
          </cell>
        </row>
      </sheetData>
      <sheetData sheetId="450">
        <row r="2">
          <cell r="B2" t="str">
            <v xml:space="preserve">STYLE </v>
          </cell>
        </row>
      </sheetData>
      <sheetData sheetId="451">
        <row r="2">
          <cell r="B2" t="str">
            <v xml:space="preserve">STYLE </v>
          </cell>
        </row>
      </sheetData>
      <sheetData sheetId="452">
        <row r="2">
          <cell r="B2" t="str">
            <v xml:space="preserve">STYLE </v>
          </cell>
        </row>
      </sheetData>
      <sheetData sheetId="453">
        <row r="2">
          <cell r="B2" t="str">
            <v xml:space="preserve">STYLE </v>
          </cell>
        </row>
      </sheetData>
      <sheetData sheetId="454">
        <row r="2">
          <cell r="B2" t="str">
            <v xml:space="preserve">STYLE </v>
          </cell>
        </row>
      </sheetData>
      <sheetData sheetId="455">
        <row r="2">
          <cell r="B2" t="str">
            <v xml:space="preserve">STYLE </v>
          </cell>
        </row>
      </sheetData>
      <sheetData sheetId="456">
        <row r="2">
          <cell r="B2" t="str">
            <v xml:space="preserve">STYLE </v>
          </cell>
        </row>
      </sheetData>
      <sheetData sheetId="457">
        <row r="2">
          <cell r="B2" t="str">
            <v xml:space="preserve">STYLE </v>
          </cell>
        </row>
      </sheetData>
      <sheetData sheetId="458">
        <row r="2">
          <cell r="B2" t="str">
            <v xml:space="preserve">STYLE </v>
          </cell>
        </row>
      </sheetData>
      <sheetData sheetId="459">
        <row r="2">
          <cell r="B2" t="str">
            <v xml:space="preserve">STYLE </v>
          </cell>
        </row>
      </sheetData>
      <sheetData sheetId="460">
        <row r="2">
          <cell r="B2" t="str">
            <v xml:space="preserve">STYLE </v>
          </cell>
        </row>
      </sheetData>
      <sheetData sheetId="461">
        <row r="2">
          <cell r="B2" t="str">
            <v xml:space="preserve">STYLE </v>
          </cell>
        </row>
      </sheetData>
      <sheetData sheetId="462">
        <row r="2">
          <cell r="B2" t="str">
            <v xml:space="preserve">STYLE </v>
          </cell>
        </row>
      </sheetData>
      <sheetData sheetId="463">
        <row r="2">
          <cell r="B2" t="str">
            <v xml:space="preserve">STYLE </v>
          </cell>
        </row>
      </sheetData>
      <sheetData sheetId="464">
        <row r="2">
          <cell r="B2" t="str">
            <v xml:space="preserve">STYLE </v>
          </cell>
        </row>
      </sheetData>
      <sheetData sheetId="465">
        <row r="2">
          <cell r="B2" t="str">
            <v xml:space="preserve">STYLE </v>
          </cell>
        </row>
      </sheetData>
      <sheetData sheetId="466">
        <row r="2">
          <cell r="B2" t="str">
            <v xml:space="preserve">STYLE </v>
          </cell>
        </row>
      </sheetData>
      <sheetData sheetId="467">
        <row r="2">
          <cell r="B2" t="str">
            <v xml:space="preserve">STYLE </v>
          </cell>
        </row>
      </sheetData>
      <sheetData sheetId="468">
        <row r="2">
          <cell r="B2" t="str">
            <v xml:space="preserve">STYLE </v>
          </cell>
        </row>
      </sheetData>
      <sheetData sheetId="469">
        <row r="2">
          <cell r="B2" t="str">
            <v xml:space="preserve">STYLE </v>
          </cell>
        </row>
      </sheetData>
      <sheetData sheetId="470">
        <row r="2">
          <cell r="B2" t="str">
            <v xml:space="preserve">STYLE </v>
          </cell>
        </row>
      </sheetData>
      <sheetData sheetId="471">
        <row r="2">
          <cell r="B2" t="str">
            <v xml:space="preserve">STYLE </v>
          </cell>
        </row>
      </sheetData>
      <sheetData sheetId="472">
        <row r="2">
          <cell r="B2" t="str">
            <v xml:space="preserve">STYLE </v>
          </cell>
        </row>
      </sheetData>
      <sheetData sheetId="473">
        <row r="2">
          <cell r="B2" t="str">
            <v xml:space="preserve">STYLE </v>
          </cell>
        </row>
      </sheetData>
      <sheetData sheetId="474">
        <row r="2">
          <cell r="B2" t="str">
            <v xml:space="preserve">STYLE </v>
          </cell>
        </row>
      </sheetData>
      <sheetData sheetId="475">
        <row r="2">
          <cell r="B2" t="str">
            <v xml:space="preserve">STYLE </v>
          </cell>
        </row>
      </sheetData>
      <sheetData sheetId="476">
        <row r="2">
          <cell r="B2" t="str">
            <v xml:space="preserve">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ow r="2">
          <cell r="B2" t="str">
            <v xml:space="preserve">STYLE </v>
          </cell>
        </row>
      </sheetData>
      <sheetData sheetId="503">
        <row r="2">
          <cell r="B2" t="str">
            <v xml:space="preserve">STYLE </v>
          </cell>
        </row>
      </sheetData>
      <sheetData sheetId="504"/>
      <sheetData sheetId="505"/>
      <sheetData sheetId="506"/>
      <sheetData sheetId="507"/>
      <sheetData sheetId="508"/>
      <sheetData sheetId="509"/>
      <sheetData sheetId="510"/>
      <sheetData sheetId="511">
        <row r="2">
          <cell r="B2" t="str">
            <v xml:space="preserve">STYLE </v>
          </cell>
        </row>
      </sheetData>
      <sheetData sheetId="512">
        <row r="2">
          <cell r="B2" t="str">
            <v xml:space="preserve">STYLE </v>
          </cell>
        </row>
      </sheetData>
      <sheetData sheetId="513">
        <row r="2">
          <cell r="B2" t="str">
            <v xml:space="preserve">STYLE </v>
          </cell>
        </row>
      </sheetData>
      <sheetData sheetId="514">
        <row r="2">
          <cell r="B2" t="str">
            <v xml:space="preserve">STYLE </v>
          </cell>
        </row>
      </sheetData>
      <sheetData sheetId="515">
        <row r="2">
          <cell r="B2" t="str">
            <v xml:space="preserve">STYLE </v>
          </cell>
        </row>
      </sheetData>
      <sheetData sheetId="516">
        <row r="2">
          <cell r="B2" t="str">
            <v xml:space="preserve">STYLE </v>
          </cell>
        </row>
      </sheetData>
      <sheetData sheetId="517">
        <row r="2">
          <cell r="B2" t="str">
            <v xml:space="preserve">STYLE </v>
          </cell>
        </row>
      </sheetData>
      <sheetData sheetId="518">
        <row r="2">
          <cell r="B2" t="str">
            <v xml:space="preserve">STYLE </v>
          </cell>
        </row>
      </sheetData>
      <sheetData sheetId="519">
        <row r="2">
          <cell r="B2" t="str">
            <v xml:space="preserve">STYLE </v>
          </cell>
        </row>
      </sheetData>
      <sheetData sheetId="520">
        <row r="2">
          <cell r="B2" t="str">
            <v xml:space="preserve">STYLE </v>
          </cell>
        </row>
      </sheetData>
      <sheetData sheetId="521">
        <row r="2">
          <cell r="B2" t="str">
            <v xml:space="preserve">STYLE </v>
          </cell>
        </row>
      </sheetData>
      <sheetData sheetId="522">
        <row r="2">
          <cell r="B2" t="str">
            <v xml:space="preserve">STYLE </v>
          </cell>
        </row>
      </sheetData>
      <sheetData sheetId="523">
        <row r="2">
          <cell r="B2" t="str">
            <v xml:space="preserve">STYLE </v>
          </cell>
        </row>
      </sheetData>
      <sheetData sheetId="524">
        <row r="2">
          <cell r="B2" t="str">
            <v xml:space="preserve">STYLE </v>
          </cell>
        </row>
      </sheetData>
      <sheetData sheetId="525">
        <row r="2">
          <cell r="B2" t="str">
            <v xml:space="preserve">STYLE </v>
          </cell>
        </row>
      </sheetData>
      <sheetData sheetId="526">
        <row r="2">
          <cell r="B2" t="str">
            <v xml:space="preserve">STYLE </v>
          </cell>
        </row>
      </sheetData>
      <sheetData sheetId="527">
        <row r="2">
          <cell r="B2" t="str">
            <v xml:space="preserve">STYLE </v>
          </cell>
        </row>
      </sheetData>
      <sheetData sheetId="528">
        <row r="2">
          <cell r="B2" t="str">
            <v xml:space="preserve">STYLE </v>
          </cell>
        </row>
      </sheetData>
      <sheetData sheetId="529">
        <row r="2">
          <cell r="B2" t="str">
            <v xml:space="preserve">STYLE </v>
          </cell>
        </row>
      </sheetData>
      <sheetData sheetId="530">
        <row r="2">
          <cell r="B2" t="str">
            <v xml:space="preserve">STYLE </v>
          </cell>
        </row>
      </sheetData>
      <sheetData sheetId="531">
        <row r="2">
          <cell r="B2" t="str">
            <v xml:space="preserve">STYLE </v>
          </cell>
        </row>
      </sheetData>
      <sheetData sheetId="532">
        <row r="2">
          <cell r="B2" t="str">
            <v xml:space="preserve">STYLE </v>
          </cell>
        </row>
      </sheetData>
      <sheetData sheetId="533">
        <row r="2">
          <cell r="B2" t="str">
            <v xml:space="preserve">STYLE </v>
          </cell>
        </row>
      </sheetData>
      <sheetData sheetId="534">
        <row r="2">
          <cell r="B2" t="str">
            <v xml:space="preserve">STYLE </v>
          </cell>
        </row>
      </sheetData>
      <sheetData sheetId="535">
        <row r="2">
          <cell r="B2" t="str">
            <v xml:space="preserve">STYLE </v>
          </cell>
        </row>
      </sheetData>
      <sheetData sheetId="536">
        <row r="2">
          <cell r="B2" t="str">
            <v xml:space="preserve">STYLE </v>
          </cell>
        </row>
      </sheetData>
      <sheetData sheetId="537">
        <row r="2">
          <cell r="B2" t="str">
            <v xml:space="preserve">STYLE </v>
          </cell>
        </row>
      </sheetData>
      <sheetData sheetId="538">
        <row r="2">
          <cell r="B2" t="str">
            <v xml:space="preserve">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B2" t="str">
            <v xml:space="preserve">STYLE </v>
          </cell>
        </row>
      </sheetData>
      <sheetData sheetId="565">
        <row r="2">
          <cell r="B2" t="str">
            <v xml:space="preserve">STYLE </v>
          </cell>
        </row>
      </sheetData>
      <sheetData sheetId="566"/>
      <sheetData sheetId="567"/>
      <sheetData sheetId="568"/>
      <sheetData sheetId="569"/>
      <sheetData sheetId="570"/>
      <sheetData sheetId="571"/>
      <sheetData sheetId="572"/>
      <sheetData sheetId="573">
        <row r="2">
          <cell r="B2" t="str">
            <v xml:space="preserve">STYLE </v>
          </cell>
        </row>
      </sheetData>
      <sheetData sheetId="574">
        <row r="2">
          <cell r="B2" t="str">
            <v xml:space="preserve">STYLE </v>
          </cell>
        </row>
      </sheetData>
      <sheetData sheetId="575">
        <row r="2">
          <cell r="B2" t="str">
            <v xml:space="preserve">STYLE </v>
          </cell>
        </row>
      </sheetData>
      <sheetData sheetId="576">
        <row r="2">
          <cell r="B2" t="str">
            <v xml:space="preserve">STYLE </v>
          </cell>
        </row>
      </sheetData>
      <sheetData sheetId="577">
        <row r="2">
          <cell r="B2" t="str">
            <v xml:space="preserve">STYLE </v>
          </cell>
        </row>
      </sheetData>
      <sheetData sheetId="578">
        <row r="2">
          <cell r="B2" t="str">
            <v xml:space="preserve">STYLE </v>
          </cell>
        </row>
      </sheetData>
      <sheetData sheetId="579">
        <row r="2">
          <cell r="B2" t="str">
            <v xml:space="preserve">STYLE </v>
          </cell>
        </row>
      </sheetData>
      <sheetData sheetId="580">
        <row r="2">
          <cell r="B2" t="str">
            <v xml:space="preserve">STYLE </v>
          </cell>
        </row>
      </sheetData>
      <sheetData sheetId="581">
        <row r="2">
          <cell r="B2" t="str">
            <v xml:space="preserve">STYLE </v>
          </cell>
        </row>
      </sheetData>
      <sheetData sheetId="582">
        <row r="2">
          <cell r="B2" t="str">
            <v xml:space="preserve">STYLE </v>
          </cell>
        </row>
      </sheetData>
      <sheetData sheetId="583">
        <row r="2">
          <cell r="B2" t="str">
            <v xml:space="preserve">STYLE </v>
          </cell>
        </row>
      </sheetData>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row r="2">
          <cell r="B2" t="str">
            <v xml:space="preserve">STYLE </v>
          </cell>
        </row>
      </sheetData>
      <sheetData sheetId="597">
        <row r="2">
          <cell r="B2" t="str">
            <v xml:space="preserve">STYLE </v>
          </cell>
        </row>
      </sheetData>
      <sheetData sheetId="598">
        <row r="2">
          <cell r="B2" t="str">
            <v xml:space="preserve">STYLE </v>
          </cell>
        </row>
      </sheetData>
      <sheetData sheetId="599">
        <row r="2">
          <cell r="B2" t="str">
            <v xml:space="preserve">STYLE </v>
          </cell>
        </row>
      </sheetData>
      <sheetData sheetId="600">
        <row r="2">
          <cell r="B2" t="str">
            <v xml:space="preserve">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sheetData sheetId="625"/>
      <sheetData sheetId="626">
        <row r="2">
          <cell r="B2" t="str">
            <v xml:space="preserve">STYLE </v>
          </cell>
        </row>
      </sheetData>
      <sheetData sheetId="627">
        <row r="2">
          <cell r="B2" t="str">
            <v xml:space="preserve">STYLE </v>
          </cell>
        </row>
      </sheetData>
      <sheetData sheetId="628"/>
      <sheetData sheetId="629"/>
      <sheetData sheetId="630"/>
      <sheetData sheetId="631"/>
      <sheetData sheetId="632"/>
      <sheetData sheetId="633"/>
      <sheetData sheetId="634"/>
      <sheetData sheetId="635">
        <row r="2">
          <cell r="B2" t="str">
            <v xml:space="preserve">STYLE </v>
          </cell>
        </row>
      </sheetData>
      <sheetData sheetId="636">
        <row r="2">
          <cell r="B2" t="str">
            <v xml:space="preserve">STYLE </v>
          </cell>
        </row>
      </sheetData>
      <sheetData sheetId="637">
        <row r="2">
          <cell r="B2" t="str">
            <v xml:space="preserve">STYLE </v>
          </cell>
        </row>
      </sheetData>
      <sheetData sheetId="638">
        <row r="2">
          <cell r="B2" t="str">
            <v xml:space="preserve">STYLE </v>
          </cell>
        </row>
      </sheetData>
      <sheetData sheetId="639">
        <row r="2">
          <cell r="B2" t="str">
            <v xml:space="preserve">STYLE </v>
          </cell>
        </row>
      </sheetData>
      <sheetData sheetId="640">
        <row r="2">
          <cell r="B2" t="str">
            <v xml:space="preserve">STYLE </v>
          </cell>
        </row>
      </sheetData>
      <sheetData sheetId="641">
        <row r="2">
          <cell r="B2" t="str">
            <v xml:space="preserve">STYLE </v>
          </cell>
        </row>
      </sheetData>
      <sheetData sheetId="642">
        <row r="2">
          <cell r="B2" t="str">
            <v xml:space="preserve">STYLE </v>
          </cell>
        </row>
      </sheetData>
      <sheetData sheetId="643">
        <row r="2">
          <cell r="B2" t="str">
            <v xml:space="preserve">STYLE </v>
          </cell>
        </row>
      </sheetData>
      <sheetData sheetId="644">
        <row r="2">
          <cell r="B2" t="str">
            <v xml:space="preserve">STYLE </v>
          </cell>
        </row>
      </sheetData>
      <sheetData sheetId="645">
        <row r="2">
          <cell r="B2" t="str">
            <v xml:space="preserve">STYLE </v>
          </cell>
        </row>
      </sheetData>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2">
          <cell r="B2" t="str">
            <v xml:space="preserve">STYLE </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row r="2">
          <cell r="B2" t="str">
            <v xml:space="preserve">STYLE </v>
          </cell>
        </row>
      </sheetData>
      <sheetData sheetId="659">
        <row r="2">
          <cell r="B2" t="str">
            <v xml:space="preserve">STYLE </v>
          </cell>
        </row>
      </sheetData>
      <sheetData sheetId="660">
        <row r="2">
          <cell r="B2" t="str">
            <v xml:space="preserve">STYLE </v>
          </cell>
        </row>
      </sheetData>
      <sheetData sheetId="661">
        <row r="2">
          <cell r="B2" t="str">
            <v xml:space="preserve">STYLE </v>
          </cell>
        </row>
      </sheetData>
      <sheetData sheetId="662">
        <row r="2">
          <cell r="B2" t="str">
            <v xml:space="preserve">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sheetData sheetId="687"/>
      <sheetData sheetId="688">
        <row r="2">
          <cell r="B2" t="str">
            <v xml:space="preserve">STYLE </v>
          </cell>
        </row>
      </sheetData>
      <sheetData sheetId="689">
        <row r="2">
          <cell r="B2" t="str">
            <v xml:space="preserve">STYLE </v>
          </cell>
        </row>
      </sheetData>
      <sheetData sheetId="690"/>
      <sheetData sheetId="691"/>
      <sheetData sheetId="692"/>
      <sheetData sheetId="693"/>
      <sheetData sheetId="694"/>
      <sheetData sheetId="695"/>
      <sheetData sheetId="696"/>
      <sheetData sheetId="697">
        <row r="2">
          <cell r="B2" t="str">
            <v xml:space="preserve">STYLE </v>
          </cell>
        </row>
      </sheetData>
      <sheetData sheetId="698">
        <row r="2">
          <cell r="B2" t="str">
            <v xml:space="preserve">STYLE </v>
          </cell>
        </row>
      </sheetData>
      <sheetData sheetId="699">
        <row r="2">
          <cell r="B2" t="str">
            <v xml:space="preserve">STYLE </v>
          </cell>
        </row>
      </sheetData>
      <sheetData sheetId="700">
        <row r="2">
          <cell r="B2" t="str">
            <v xml:space="preserve">STYLE </v>
          </cell>
        </row>
      </sheetData>
      <sheetData sheetId="701">
        <row r="2">
          <cell r="B2" t="str">
            <v xml:space="preserve">STYLE </v>
          </cell>
        </row>
      </sheetData>
      <sheetData sheetId="702">
        <row r="2">
          <cell r="B2" t="str">
            <v xml:space="preserve">STYLE </v>
          </cell>
        </row>
      </sheetData>
      <sheetData sheetId="703">
        <row r="2">
          <cell r="B2" t="str">
            <v xml:space="preserve">STYLE </v>
          </cell>
        </row>
      </sheetData>
      <sheetData sheetId="704">
        <row r="2">
          <cell r="B2" t="str">
            <v xml:space="preserve">STYLE </v>
          </cell>
        </row>
      </sheetData>
      <sheetData sheetId="705">
        <row r="2">
          <cell r="B2" t="str">
            <v xml:space="preserve">STYLE </v>
          </cell>
        </row>
      </sheetData>
      <sheetData sheetId="706">
        <row r="2">
          <cell r="B2" t="str">
            <v xml:space="preserve">STYLE </v>
          </cell>
        </row>
      </sheetData>
      <sheetData sheetId="707">
        <row r="2">
          <cell r="B2" t="str">
            <v xml:space="preserve">STYLE </v>
          </cell>
        </row>
      </sheetData>
      <sheetData sheetId="708">
        <row r="2">
          <cell r="B2" t="str">
            <v xml:space="preserve">STYLE </v>
          </cell>
        </row>
      </sheetData>
      <sheetData sheetId="709">
        <row r="2">
          <cell r="B2" t="str">
            <v xml:space="preserve">STYLE </v>
          </cell>
        </row>
      </sheetData>
      <sheetData sheetId="710">
        <row r="2">
          <cell r="B2" t="str">
            <v xml:space="preserve">STYLE </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row r="2">
          <cell r="B2" t="str">
            <v xml:space="preserve">STYLE </v>
          </cell>
        </row>
      </sheetData>
      <sheetData sheetId="721">
        <row r="2">
          <cell r="B2" t="str">
            <v xml:space="preserve">STYLE </v>
          </cell>
        </row>
      </sheetData>
      <sheetData sheetId="722">
        <row r="2">
          <cell r="B2" t="str">
            <v xml:space="preserve">STYLE </v>
          </cell>
        </row>
      </sheetData>
      <sheetData sheetId="723">
        <row r="2">
          <cell r="B2" t="str">
            <v xml:space="preserve">STYLE </v>
          </cell>
        </row>
      </sheetData>
      <sheetData sheetId="724">
        <row r="2">
          <cell r="B2" t="str">
            <v xml:space="preserve">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sheetData sheetId="749"/>
      <sheetData sheetId="750">
        <row r="2">
          <cell r="B2" t="str">
            <v xml:space="preserve">STYLE </v>
          </cell>
        </row>
      </sheetData>
      <sheetData sheetId="751">
        <row r="2">
          <cell r="B2" t="str">
            <v xml:space="preserve">STYLE </v>
          </cell>
        </row>
      </sheetData>
      <sheetData sheetId="752"/>
      <sheetData sheetId="753"/>
      <sheetData sheetId="754"/>
      <sheetData sheetId="755"/>
      <sheetData sheetId="756"/>
      <sheetData sheetId="757"/>
      <sheetData sheetId="758"/>
      <sheetData sheetId="759">
        <row r="2">
          <cell r="B2" t="str">
            <v xml:space="preserve">STYLE </v>
          </cell>
        </row>
      </sheetData>
      <sheetData sheetId="760">
        <row r="2">
          <cell r="B2" t="str">
            <v xml:space="preserve">STYLE </v>
          </cell>
        </row>
      </sheetData>
      <sheetData sheetId="761">
        <row r="2">
          <cell r="B2" t="str">
            <v xml:space="preserve">STYLE </v>
          </cell>
        </row>
      </sheetData>
      <sheetData sheetId="762">
        <row r="2">
          <cell r="B2" t="str">
            <v xml:space="preserve">STYLE </v>
          </cell>
        </row>
      </sheetData>
      <sheetData sheetId="763">
        <row r="2">
          <cell r="B2" t="str">
            <v xml:space="preserve">STYLE </v>
          </cell>
        </row>
      </sheetData>
      <sheetData sheetId="764">
        <row r="2">
          <cell r="B2" t="str">
            <v xml:space="preserve">STYLE </v>
          </cell>
        </row>
      </sheetData>
      <sheetData sheetId="765">
        <row r="2">
          <cell r="B2" t="str">
            <v xml:space="preserve">STYLE </v>
          </cell>
        </row>
      </sheetData>
      <sheetData sheetId="766">
        <row r="2">
          <cell r="B2" t="str">
            <v xml:space="preserve">STYLE </v>
          </cell>
        </row>
      </sheetData>
      <sheetData sheetId="767">
        <row r="2">
          <cell r="B2" t="str">
            <v xml:space="preserve">STYLE </v>
          </cell>
        </row>
      </sheetData>
      <sheetData sheetId="768">
        <row r="2">
          <cell r="B2" t="str">
            <v xml:space="preserve">STYLE </v>
          </cell>
        </row>
      </sheetData>
      <sheetData sheetId="769">
        <row r="2">
          <cell r="B2" t="str">
            <v xml:space="preserve">STYLE </v>
          </cell>
        </row>
      </sheetData>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row r="2">
          <cell r="B2" t="str">
            <v xml:space="preserve">STYLE </v>
          </cell>
        </row>
      </sheetData>
      <sheetData sheetId="783">
        <row r="2">
          <cell r="B2" t="str">
            <v xml:space="preserve">STYLE </v>
          </cell>
        </row>
      </sheetData>
      <sheetData sheetId="784">
        <row r="2">
          <cell r="B2" t="str">
            <v xml:space="preserve">STYLE </v>
          </cell>
        </row>
      </sheetData>
      <sheetData sheetId="785">
        <row r="2">
          <cell r="B2" t="str">
            <v xml:space="preserve">STYLE </v>
          </cell>
        </row>
      </sheetData>
      <sheetData sheetId="786">
        <row r="2">
          <cell r="B2" t="str">
            <v xml:space="preserve">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sheetData sheetId="811"/>
      <sheetData sheetId="812">
        <row r="2">
          <cell r="B2" t="str">
            <v xml:space="preserve">STYLE </v>
          </cell>
        </row>
      </sheetData>
      <sheetData sheetId="813">
        <row r="2">
          <cell r="B2" t="str">
            <v xml:space="preserve">STYLE </v>
          </cell>
        </row>
      </sheetData>
      <sheetData sheetId="814"/>
      <sheetData sheetId="815"/>
      <sheetData sheetId="816"/>
      <sheetData sheetId="817"/>
      <sheetData sheetId="818"/>
      <sheetData sheetId="819"/>
      <sheetData sheetId="820"/>
      <sheetData sheetId="821">
        <row r="2">
          <cell r="B2" t="str">
            <v xml:space="preserve">STYLE </v>
          </cell>
        </row>
      </sheetData>
      <sheetData sheetId="822">
        <row r="2">
          <cell r="B2" t="str">
            <v xml:space="preserve">STYLE </v>
          </cell>
        </row>
      </sheetData>
      <sheetData sheetId="823">
        <row r="2">
          <cell r="B2" t="str">
            <v xml:space="preserve">STYLE </v>
          </cell>
        </row>
      </sheetData>
      <sheetData sheetId="824">
        <row r="2">
          <cell r="B2" t="str">
            <v xml:space="preserve">STYLE </v>
          </cell>
        </row>
      </sheetData>
      <sheetData sheetId="825">
        <row r="2">
          <cell r="B2" t="str">
            <v xml:space="preserve">STYLE </v>
          </cell>
        </row>
      </sheetData>
      <sheetData sheetId="826">
        <row r="2">
          <cell r="B2" t="str">
            <v xml:space="preserve">STYLE </v>
          </cell>
        </row>
      </sheetData>
      <sheetData sheetId="827">
        <row r="2">
          <cell r="B2" t="str">
            <v xml:space="preserve">STYLE </v>
          </cell>
        </row>
      </sheetData>
      <sheetData sheetId="828">
        <row r="2">
          <cell r="B2" t="str">
            <v xml:space="preserve">STYLE </v>
          </cell>
        </row>
      </sheetData>
      <sheetData sheetId="829">
        <row r="2">
          <cell r="B2" t="str">
            <v xml:space="preserve">STYLE </v>
          </cell>
        </row>
      </sheetData>
      <sheetData sheetId="830">
        <row r="2">
          <cell r="B2" t="str">
            <v xml:space="preserve">STYLE </v>
          </cell>
        </row>
      </sheetData>
      <sheetData sheetId="831">
        <row r="2">
          <cell r="B2" t="str">
            <v xml:space="preserve">STYLE </v>
          </cell>
        </row>
      </sheetData>
      <sheetData sheetId="832">
        <row r="2">
          <cell r="B2" t="str">
            <v xml:space="preserve">STYLE </v>
          </cell>
        </row>
      </sheetData>
      <sheetData sheetId="833">
        <row r="2">
          <cell r="B2" t="str">
            <v xml:space="preserve">STYLE </v>
          </cell>
        </row>
      </sheetData>
      <sheetData sheetId="834">
        <row r="2">
          <cell r="B2" t="str">
            <v xml:space="preserve">STYLE </v>
          </cell>
        </row>
      </sheetData>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row r="2">
          <cell r="B2" t="str">
            <v xml:space="preserve">STYLE </v>
          </cell>
        </row>
      </sheetData>
      <sheetData sheetId="845">
        <row r="2">
          <cell r="B2" t="str">
            <v xml:space="preserve">STYLE </v>
          </cell>
        </row>
      </sheetData>
      <sheetData sheetId="846">
        <row r="2">
          <cell r="B2" t="str">
            <v xml:space="preserve">STYLE </v>
          </cell>
        </row>
      </sheetData>
      <sheetData sheetId="847">
        <row r="2">
          <cell r="B2" t="str">
            <v xml:space="preserve">STYLE </v>
          </cell>
        </row>
      </sheetData>
      <sheetData sheetId="848">
        <row r="2">
          <cell r="B2" t="str">
            <v xml:space="preserve">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ow r="2">
          <cell r="B2" t="str">
            <v xml:space="preserve">STYLE </v>
          </cell>
        </row>
      </sheetData>
      <sheetData sheetId="875">
        <row r="2">
          <cell r="B2" t="str">
            <v xml:space="preserve">STYLE </v>
          </cell>
        </row>
      </sheetData>
      <sheetData sheetId="876"/>
      <sheetData sheetId="877"/>
      <sheetData sheetId="878"/>
      <sheetData sheetId="879"/>
      <sheetData sheetId="880"/>
      <sheetData sheetId="881"/>
      <sheetData sheetId="882"/>
      <sheetData sheetId="883">
        <row r="2">
          <cell r="B2" t="str">
            <v xml:space="preserve">STYLE </v>
          </cell>
        </row>
      </sheetData>
      <sheetData sheetId="884">
        <row r="2">
          <cell r="B2" t="str">
            <v xml:space="preserve">STYLE </v>
          </cell>
        </row>
      </sheetData>
      <sheetData sheetId="885">
        <row r="2">
          <cell r="B2" t="str">
            <v xml:space="preserve">STYLE </v>
          </cell>
        </row>
      </sheetData>
      <sheetData sheetId="886">
        <row r="2">
          <cell r="B2" t="str">
            <v xml:space="preserve">STYLE </v>
          </cell>
        </row>
      </sheetData>
      <sheetData sheetId="887">
        <row r="2">
          <cell r="B2" t="str">
            <v xml:space="preserve">STYLE </v>
          </cell>
        </row>
      </sheetData>
      <sheetData sheetId="888">
        <row r="2">
          <cell r="B2" t="str">
            <v xml:space="preserve">STYLE </v>
          </cell>
        </row>
      </sheetData>
      <sheetData sheetId="889">
        <row r="2">
          <cell r="B2" t="str">
            <v xml:space="preserve">STYLE </v>
          </cell>
        </row>
      </sheetData>
      <sheetData sheetId="890">
        <row r="2">
          <cell r="B2" t="str">
            <v xml:space="preserve">STYLE </v>
          </cell>
        </row>
      </sheetData>
      <sheetData sheetId="891">
        <row r="2">
          <cell r="B2" t="str">
            <v xml:space="preserve">STYLE </v>
          </cell>
        </row>
      </sheetData>
      <sheetData sheetId="892">
        <row r="2">
          <cell r="B2" t="str">
            <v xml:space="preserve">STYLE </v>
          </cell>
        </row>
      </sheetData>
      <sheetData sheetId="893">
        <row r="2">
          <cell r="B2" t="str">
            <v xml:space="preserve">STYLE </v>
          </cell>
        </row>
      </sheetData>
      <sheetData sheetId="894">
        <row r="2">
          <cell r="B2" t="str">
            <v xml:space="preserve">STYLE </v>
          </cell>
        </row>
      </sheetData>
      <sheetData sheetId="895">
        <row r="2">
          <cell r="B2" t="str">
            <v xml:space="preserve">STYLE </v>
          </cell>
        </row>
      </sheetData>
      <sheetData sheetId="896">
        <row r="2">
          <cell r="B2" t="str">
            <v xml:space="preserve">STYLE </v>
          </cell>
        </row>
      </sheetData>
      <sheetData sheetId="897">
        <row r="2">
          <cell r="B2" t="str">
            <v xml:space="preserve">STYLE </v>
          </cell>
        </row>
      </sheetData>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row r="2">
          <cell r="B2" t="str">
            <v xml:space="preserve">STYLE </v>
          </cell>
        </row>
      </sheetData>
      <sheetData sheetId="907">
        <row r="2">
          <cell r="B2" t="str">
            <v xml:space="preserve">STYLE </v>
          </cell>
        </row>
      </sheetData>
      <sheetData sheetId="908">
        <row r="2">
          <cell r="B2" t="str">
            <v xml:space="preserve">STYLE </v>
          </cell>
        </row>
      </sheetData>
      <sheetData sheetId="909">
        <row r="2">
          <cell r="B2" t="str">
            <v xml:space="preserve">STYLE </v>
          </cell>
        </row>
      </sheetData>
      <sheetData sheetId="910">
        <row r="2">
          <cell r="B2" t="str">
            <v xml:space="preserve">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ow r="2">
          <cell r="B2" t="str">
            <v xml:space="preserve">STYLE </v>
          </cell>
        </row>
      </sheetData>
      <sheetData sheetId="937">
        <row r="2">
          <cell r="B2" t="str">
            <v xml:space="preserve">STYLE </v>
          </cell>
        </row>
      </sheetData>
      <sheetData sheetId="938"/>
      <sheetData sheetId="939"/>
      <sheetData sheetId="940"/>
      <sheetData sheetId="941"/>
      <sheetData sheetId="942"/>
      <sheetData sheetId="943"/>
      <sheetData sheetId="944"/>
      <sheetData sheetId="945">
        <row r="2">
          <cell r="B2" t="str">
            <v xml:space="preserve">STYLE </v>
          </cell>
        </row>
      </sheetData>
      <sheetData sheetId="946">
        <row r="2">
          <cell r="B2" t="str">
            <v xml:space="preserve">STYLE </v>
          </cell>
        </row>
      </sheetData>
      <sheetData sheetId="947">
        <row r="2">
          <cell r="B2" t="str">
            <v xml:space="preserve">STYLE </v>
          </cell>
        </row>
      </sheetData>
      <sheetData sheetId="948">
        <row r="2">
          <cell r="B2" t="str">
            <v xml:space="preserve">STYLE </v>
          </cell>
        </row>
      </sheetData>
      <sheetData sheetId="949">
        <row r="2">
          <cell r="B2" t="str">
            <v xml:space="preserve">STYLE </v>
          </cell>
        </row>
      </sheetData>
      <sheetData sheetId="950">
        <row r="2">
          <cell r="B2" t="str">
            <v xml:space="preserve">STYLE </v>
          </cell>
        </row>
      </sheetData>
      <sheetData sheetId="951">
        <row r="2">
          <cell r="B2" t="str">
            <v xml:space="preserve">STYLE </v>
          </cell>
        </row>
      </sheetData>
      <sheetData sheetId="952">
        <row r="2">
          <cell r="B2" t="str">
            <v xml:space="preserve">STYLE </v>
          </cell>
        </row>
      </sheetData>
      <sheetData sheetId="953">
        <row r="2">
          <cell r="B2" t="str">
            <v xml:space="preserve">STYLE </v>
          </cell>
        </row>
      </sheetData>
      <sheetData sheetId="954">
        <row r="2">
          <cell r="B2" t="str">
            <v xml:space="preserve">STYLE </v>
          </cell>
        </row>
      </sheetData>
      <sheetData sheetId="955">
        <row r="2">
          <cell r="B2" t="str">
            <v xml:space="preserve">STYLE </v>
          </cell>
        </row>
      </sheetData>
      <sheetData sheetId="956">
        <row r="2">
          <cell r="B2" t="str">
            <v xml:space="preserve">STYLE </v>
          </cell>
        </row>
      </sheetData>
      <sheetData sheetId="957">
        <row r="2">
          <cell r="B2" t="str">
            <v xml:space="preserve">STYLE </v>
          </cell>
        </row>
      </sheetData>
      <sheetData sheetId="958">
        <row r="2">
          <cell r="B2" t="str">
            <v xml:space="preserve">STYLE </v>
          </cell>
        </row>
      </sheetData>
      <sheetData sheetId="959">
        <row r="2">
          <cell r="B2" t="str">
            <v xml:space="preserve">STYLE </v>
          </cell>
        </row>
      </sheetData>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row r="2">
          <cell r="B2" t="str">
            <v xml:space="preserve">STYLE </v>
          </cell>
        </row>
      </sheetData>
      <sheetData sheetId="969">
        <row r="2">
          <cell r="B2" t="str">
            <v xml:space="preserve">STYLE </v>
          </cell>
        </row>
      </sheetData>
      <sheetData sheetId="970">
        <row r="2">
          <cell r="B2" t="str">
            <v xml:space="preserve">STYLE </v>
          </cell>
        </row>
      </sheetData>
      <sheetData sheetId="971">
        <row r="2">
          <cell r="B2" t="str">
            <v xml:space="preserve">STYLE </v>
          </cell>
        </row>
      </sheetData>
      <sheetData sheetId="972">
        <row r="2">
          <cell r="B2" t="str">
            <v xml:space="preserve">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row r="2">
          <cell r="B2" t="str">
            <v xml:space="preserve">STYLE </v>
          </cell>
        </row>
      </sheetData>
      <sheetData sheetId="1008">
        <row r="2">
          <cell r="B2" t="str">
            <v xml:space="preserve">STYLE </v>
          </cell>
        </row>
      </sheetData>
      <sheetData sheetId="1009">
        <row r="2">
          <cell r="B2" t="str">
            <v xml:space="preserve">STYLE </v>
          </cell>
        </row>
      </sheetData>
      <sheetData sheetId="1010">
        <row r="2">
          <cell r="B2" t="str">
            <v xml:space="preserve">STYLE </v>
          </cell>
        </row>
      </sheetData>
      <sheetData sheetId="1011">
        <row r="2">
          <cell r="B2" t="str">
            <v xml:space="preserve">STYLE </v>
          </cell>
        </row>
      </sheetData>
      <sheetData sheetId="1012">
        <row r="2">
          <cell r="B2" t="str">
            <v xml:space="preserve">STYLE </v>
          </cell>
        </row>
      </sheetData>
      <sheetData sheetId="1013">
        <row r="2">
          <cell r="B2" t="str">
            <v xml:space="preserve">STYLE </v>
          </cell>
        </row>
      </sheetData>
      <sheetData sheetId="1014">
        <row r="2">
          <cell r="B2" t="str">
            <v xml:space="preserve">STYLE </v>
          </cell>
        </row>
      </sheetData>
      <sheetData sheetId="1015">
        <row r="2">
          <cell r="B2" t="str">
            <v xml:space="preserve">STYLE </v>
          </cell>
        </row>
      </sheetData>
      <sheetData sheetId="1016">
        <row r="2">
          <cell r="B2" t="str">
            <v xml:space="preserve">STYLE </v>
          </cell>
        </row>
      </sheetData>
      <sheetData sheetId="1017">
        <row r="2">
          <cell r="B2" t="str">
            <v xml:space="preserve">STYLE </v>
          </cell>
        </row>
      </sheetData>
      <sheetData sheetId="1018">
        <row r="2">
          <cell r="B2" t="str">
            <v xml:space="preserve">STYLE </v>
          </cell>
        </row>
      </sheetData>
      <sheetData sheetId="1019">
        <row r="2">
          <cell r="B2" t="str">
            <v xml:space="preserve">STYLE </v>
          </cell>
        </row>
      </sheetData>
      <sheetData sheetId="1020">
        <row r="2">
          <cell r="B2" t="str">
            <v xml:space="preserve">STYLE </v>
          </cell>
        </row>
      </sheetData>
      <sheetData sheetId="1021">
        <row r="2">
          <cell r="B2" t="str">
            <v xml:space="preserve">STYLE </v>
          </cell>
        </row>
      </sheetData>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row r="2">
          <cell r="B2" t="str">
            <v xml:space="preserve">STYLE </v>
          </cell>
        </row>
      </sheetData>
      <sheetData sheetId="1027">
        <row r="2">
          <cell r="B2" t="str">
            <v xml:space="preserve">STYLE </v>
          </cell>
        </row>
      </sheetData>
      <sheetData sheetId="1028">
        <row r="2">
          <cell r="B2" t="str">
            <v xml:space="preserve">STYLE </v>
          </cell>
        </row>
      </sheetData>
      <sheetData sheetId="1029">
        <row r="2">
          <cell r="B2" t="str">
            <v xml:space="preserve">STYLE </v>
          </cell>
        </row>
      </sheetData>
      <sheetData sheetId="1030">
        <row r="2">
          <cell r="B2" t="str">
            <v xml:space="preserve">STYLE </v>
          </cell>
        </row>
      </sheetData>
      <sheetData sheetId="1031">
        <row r="2">
          <cell r="B2" t="str">
            <v xml:space="preserve">STYLE </v>
          </cell>
        </row>
      </sheetData>
      <sheetData sheetId="1032">
        <row r="2">
          <cell r="B2" t="str">
            <v xml:space="preserve">STYLE </v>
          </cell>
        </row>
      </sheetData>
      <sheetData sheetId="1033">
        <row r="2">
          <cell r="B2" t="str">
            <v xml:space="preserve">STYLE </v>
          </cell>
        </row>
      </sheetData>
      <sheetData sheetId="1034">
        <row r="2">
          <cell r="B2" t="str">
            <v xml:space="preserve">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ow r="2">
          <cell r="B2" t="str">
            <v xml:space="preserve">STYLE </v>
          </cell>
        </row>
      </sheetData>
      <sheetData sheetId="1061"/>
      <sheetData sheetId="1062">
        <row r="2">
          <cell r="B2" t="str">
            <v xml:space="preserve">STYLE </v>
          </cell>
        </row>
      </sheetData>
      <sheetData sheetId="1063"/>
      <sheetData sheetId="1064"/>
      <sheetData sheetId="1065"/>
      <sheetData sheetId="1066"/>
      <sheetData sheetId="1067"/>
      <sheetData sheetId="1068"/>
      <sheetData sheetId="1069"/>
      <sheetData sheetId="1070"/>
      <sheetData sheetId="1071">
        <row r="2">
          <cell r="B2" t="str">
            <v xml:space="preserve">STYLE </v>
          </cell>
        </row>
      </sheetData>
      <sheetData sheetId="1072">
        <row r="2">
          <cell r="B2" t="str">
            <v>LI</v>
          </cell>
        </row>
      </sheetData>
      <sheetData sheetId="1073">
        <row r="2">
          <cell r="B2" t="str">
            <v xml:space="preserve">STYLE </v>
          </cell>
        </row>
      </sheetData>
      <sheetData sheetId="1074" refreshError="1"/>
      <sheetData sheetId="1075">
        <row r="2">
          <cell r="B2" t="str">
            <v>LI</v>
          </cell>
        </row>
      </sheetData>
      <sheetData sheetId="1076">
        <row r="2">
          <cell r="B2" t="str">
            <v xml:space="preserve">STYLE </v>
          </cell>
        </row>
      </sheetData>
      <sheetData sheetId="1077">
        <row r="2">
          <cell r="B2" t="str">
            <v xml:space="preserve">STYLE </v>
          </cell>
        </row>
      </sheetData>
      <sheetData sheetId="1078" refreshError="1"/>
      <sheetData sheetId="1079">
        <row r="2">
          <cell r="B2" t="str">
            <v xml:space="preserve">STYLE </v>
          </cell>
        </row>
      </sheetData>
      <sheetData sheetId="1080">
        <row r="2">
          <cell r="B2" t="str">
            <v xml:space="preserve">STYLE </v>
          </cell>
        </row>
      </sheetData>
      <sheetData sheetId="1081">
        <row r="2">
          <cell r="B2" t="str">
            <v xml:space="preserve">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sheetData sheetId="1096"/>
      <sheetData sheetId="1097">
        <row r="2">
          <cell r="B2" t="str">
            <v>LI</v>
          </cell>
        </row>
      </sheetData>
      <sheetData sheetId="1098"/>
      <sheetData sheetId="1099"/>
      <sheetData sheetId="1100"/>
      <sheetData sheetId="1101"/>
      <sheetData sheetId="1102"/>
      <sheetData sheetId="1103"/>
      <sheetData sheetId="1104"/>
      <sheetData sheetId="1105"/>
      <sheetData sheetId="1106"/>
      <sheetData sheetId="1107" refreshError="1"/>
      <sheetData sheetId="1108" refreshError="1"/>
      <sheetData sheetId="1109" refreshError="1"/>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2">
          <cell r="B2" t="str">
            <v xml:space="preserve">STYLE </v>
          </cell>
        </row>
      </sheetData>
      <sheetData sheetId="1125">
        <row r="2">
          <cell r="B2" t="str">
            <v xml:space="preserve">STYLE </v>
          </cell>
        </row>
      </sheetData>
      <sheetData sheetId="1126">
        <row r="2">
          <cell r="B2" t="str">
            <v xml:space="preserve">STYLE </v>
          </cell>
        </row>
      </sheetData>
      <sheetData sheetId="1127">
        <row r="2">
          <cell r="B2" t="str">
            <v xml:space="preserve">STYLE </v>
          </cell>
        </row>
      </sheetData>
      <sheetData sheetId="1128">
        <row r="2">
          <cell r="B2" t="str">
            <v xml:space="preserve">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row r="2">
          <cell r="B2" t="str">
            <v xml:space="preserve">STYLE </v>
          </cell>
        </row>
      </sheetData>
      <sheetData sheetId="1170">
        <row r="2">
          <cell r="B2" t="str">
            <v xml:space="preserve">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 xml:space="preserve">STYLE </v>
          </cell>
        </row>
      </sheetData>
      <sheetData sheetId="1175">
        <row r="2">
          <cell r="B2" t="str">
            <v xml:space="preserve">STYLE </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sheetData sheetId="1191"/>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 xml:space="preserve">STYLE </v>
          </cell>
        </row>
      </sheetData>
      <sheetData sheetId="1208">
        <row r="2">
          <cell r="B2" t="str">
            <v xml:space="preserve">STYLE </v>
          </cell>
        </row>
      </sheetData>
      <sheetData sheetId="1209">
        <row r="2">
          <cell r="B2" t="str">
            <v xml:space="preserve">STYLE </v>
          </cell>
        </row>
      </sheetData>
      <sheetData sheetId="1210">
        <row r="2">
          <cell r="B2" t="str">
            <v xml:space="preserve">STYLE </v>
          </cell>
        </row>
      </sheetData>
      <sheetData sheetId="1211">
        <row r="2">
          <cell r="B2" t="str">
            <v xml:space="preserve">STYLE </v>
          </cell>
        </row>
      </sheetData>
      <sheetData sheetId="1212">
        <row r="2">
          <cell r="B2" t="str">
            <v xml:space="preserve">STYLE </v>
          </cell>
        </row>
      </sheetData>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 xml:space="preserve">STYLE </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sheetData sheetId="1245"/>
      <sheetData sheetId="1246"/>
      <sheetData sheetId="1247"/>
      <sheetData sheetId="1248"/>
      <sheetData sheetId="1249">
        <row r="2">
          <cell r="B2" t="str">
            <v>LI</v>
          </cell>
        </row>
      </sheetData>
      <sheetData sheetId="1250">
        <row r="2">
          <cell r="B2" t="str">
            <v xml:space="preserve">STYLE </v>
          </cell>
        </row>
      </sheetData>
      <sheetData sheetId="1251"/>
      <sheetData sheetId="1252"/>
      <sheetData sheetId="1253"/>
      <sheetData sheetId="1254">
        <row r="2">
          <cell r="B2" t="str">
            <v xml:space="preserve">STYLE </v>
          </cell>
        </row>
      </sheetData>
      <sheetData sheetId="1255"/>
      <sheetData sheetId="1256">
        <row r="2">
          <cell r="B2" t="str">
            <v>LI</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row r="2">
          <cell r="B2" t="str">
            <v xml:space="preserve">STYLE </v>
          </cell>
        </row>
      </sheetData>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sheetData sheetId="1268"/>
      <sheetData sheetId="1269"/>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sheetData sheetId="1275">
        <row r="2">
          <cell r="B2" t="str">
            <v xml:space="preserve">STYLE </v>
          </cell>
        </row>
      </sheetData>
      <sheetData sheetId="1276">
        <row r="2">
          <cell r="B2" t="str">
            <v xml:space="preserve">STYLE </v>
          </cell>
        </row>
      </sheetData>
      <sheetData sheetId="1277">
        <row r="2">
          <cell r="B2" t="str">
            <v xml:space="preserve">STYLE </v>
          </cell>
        </row>
      </sheetData>
      <sheetData sheetId="1278">
        <row r="2">
          <cell r="B2" t="str">
            <v xml:space="preserve">STYLE </v>
          </cell>
        </row>
      </sheetData>
      <sheetData sheetId="1279">
        <row r="2">
          <cell r="B2" t="str">
            <v xml:space="preserve">STYLE </v>
          </cell>
        </row>
      </sheetData>
      <sheetData sheetId="1280">
        <row r="2">
          <cell r="B2" t="str">
            <v xml:space="preserve">STYLE </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LI</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2">
          <cell r="B2" t="str">
            <v xml:space="preserve">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 xml:space="preserve">STYLE </v>
          </cell>
        </row>
      </sheetData>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 xml:space="preserve">STYLE </v>
          </cell>
        </row>
      </sheetData>
      <sheetData sheetId="1324">
        <row r="2">
          <cell r="B2" t="str">
            <v xml:space="preserve">STYLE </v>
          </cell>
        </row>
      </sheetData>
      <sheetData sheetId="1325">
        <row r="2">
          <cell r="B2" t="str">
            <v xml:space="preserve">STYLE </v>
          </cell>
        </row>
      </sheetData>
      <sheetData sheetId="1326">
        <row r="2">
          <cell r="B2" t="str">
            <v xml:space="preserve">STYLE </v>
          </cell>
        </row>
      </sheetData>
      <sheetData sheetId="1327"/>
      <sheetData sheetId="1328"/>
      <sheetData sheetId="1329"/>
      <sheetData sheetId="1330"/>
      <sheetData sheetId="1331"/>
      <sheetData sheetId="1332">
        <row r="2">
          <cell r="B2" t="str">
            <v>LI</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row r="2">
          <cell r="B2" t="str">
            <v xml:space="preserve">STYLE </v>
          </cell>
        </row>
      </sheetData>
      <sheetData sheetId="1338"/>
      <sheetData sheetId="1339">
        <row r="2">
          <cell r="B2" t="str">
            <v>LI</v>
          </cell>
        </row>
      </sheetData>
      <sheetData sheetId="1340">
        <row r="2">
          <cell r="B2" t="str">
            <v>LI</v>
          </cell>
        </row>
      </sheetData>
      <sheetData sheetId="1341">
        <row r="2">
          <cell r="B2" t="str">
            <v xml:space="preserve">STYLE </v>
          </cell>
        </row>
      </sheetData>
      <sheetData sheetId="1342">
        <row r="2">
          <cell r="B2" t="str">
            <v xml:space="preserve">STYLE </v>
          </cell>
        </row>
      </sheetData>
      <sheetData sheetId="1343">
        <row r="2">
          <cell r="B2" t="str">
            <v xml:space="preserve">STYLE </v>
          </cell>
        </row>
      </sheetData>
      <sheetData sheetId="1344">
        <row r="2">
          <cell r="B2" t="str">
            <v>LI</v>
          </cell>
        </row>
      </sheetData>
      <sheetData sheetId="1345"/>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row r="2">
          <cell r="B2" t="str">
            <v xml:space="preserve">STYLE </v>
          </cell>
        </row>
      </sheetData>
      <sheetData sheetId="1350"/>
      <sheetData sheetId="1351">
        <row r="2">
          <cell r="B2" t="str">
            <v>LI</v>
          </cell>
        </row>
      </sheetData>
      <sheetData sheetId="1352"/>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 xml:space="preserve">STYLE </v>
          </cell>
        </row>
      </sheetData>
      <sheetData sheetId="1362">
        <row r="2">
          <cell r="B2" t="str">
            <v xml:space="preserve">STYLE </v>
          </cell>
        </row>
      </sheetData>
      <sheetData sheetId="1363">
        <row r="2">
          <cell r="B2" t="str">
            <v xml:space="preserve">STYLE </v>
          </cell>
        </row>
      </sheetData>
      <sheetData sheetId="1364">
        <row r="2">
          <cell r="B2" t="str">
            <v xml:space="preserve">STYLE </v>
          </cell>
        </row>
      </sheetData>
      <sheetData sheetId="1365">
        <row r="2">
          <cell r="B2" t="str">
            <v xml:space="preserve">STYLE </v>
          </cell>
        </row>
      </sheetData>
      <sheetData sheetId="1366">
        <row r="2">
          <cell r="B2" t="str">
            <v xml:space="preserve">STYLE </v>
          </cell>
        </row>
      </sheetData>
      <sheetData sheetId="1367">
        <row r="2">
          <cell r="B2" t="str">
            <v xml:space="preserve">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 xml:space="preserve">STYLE </v>
          </cell>
        </row>
      </sheetData>
      <sheetData sheetId="1385">
        <row r="2">
          <cell r="B2" t="str">
            <v xml:space="preserve">STYLE </v>
          </cell>
        </row>
      </sheetData>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row r="2">
          <cell r="B2" t="str">
            <v>LI</v>
          </cell>
        </row>
      </sheetData>
      <sheetData sheetId="1390">
        <row r="2">
          <cell r="B2" t="str">
            <v xml:space="preserve">STYLE </v>
          </cell>
        </row>
      </sheetData>
      <sheetData sheetId="1391">
        <row r="2">
          <cell r="B2" t="str">
            <v xml:space="preserve">STYLE </v>
          </cell>
        </row>
      </sheetData>
      <sheetData sheetId="1392"/>
      <sheetData sheetId="1393"/>
      <sheetData sheetId="1394"/>
      <sheetData sheetId="1395"/>
      <sheetData sheetId="1396">
        <row r="2">
          <cell r="B2" t="str">
            <v xml:space="preserve">STYLE </v>
          </cell>
        </row>
      </sheetData>
      <sheetData sheetId="1397">
        <row r="2">
          <cell r="B2" t="str">
            <v xml:space="preserve">STYLE </v>
          </cell>
        </row>
      </sheetData>
      <sheetData sheetId="1398">
        <row r="2">
          <cell r="B2" t="str">
            <v xml:space="preserve">STYLE </v>
          </cell>
        </row>
      </sheetData>
      <sheetData sheetId="1399">
        <row r="2">
          <cell r="B2" t="str">
            <v xml:space="preserve">STYLE </v>
          </cell>
        </row>
      </sheetData>
      <sheetData sheetId="1400"/>
      <sheetData sheetId="1401"/>
      <sheetData sheetId="1402"/>
      <sheetData sheetId="1403"/>
      <sheetData sheetId="1404">
        <row r="2">
          <cell r="B2" t="str">
            <v>LI</v>
          </cell>
        </row>
      </sheetData>
      <sheetData sheetId="1405"/>
      <sheetData sheetId="1406">
        <row r="2">
          <cell r="B2" t="str">
            <v xml:space="preserve">STYLE </v>
          </cell>
        </row>
      </sheetData>
      <sheetData sheetId="1407">
        <row r="2">
          <cell r="B2" t="str">
            <v xml:space="preserve">STYLE </v>
          </cell>
        </row>
      </sheetData>
      <sheetData sheetId="1408">
        <row r="2">
          <cell r="B2" t="str">
            <v xml:space="preserve">STYLE </v>
          </cell>
        </row>
      </sheetData>
      <sheetData sheetId="1409">
        <row r="2">
          <cell r="B2" t="str">
            <v xml:space="preserve">STYLE </v>
          </cell>
        </row>
      </sheetData>
      <sheetData sheetId="1410">
        <row r="2">
          <cell r="B2" t="str">
            <v xml:space="preserve">STYLE </v>
          </cell>
        </row>
      </sheetData>
      <sheetData sheetId="1411">
        <row r="2">
          <cell r="B2" t="str">
            <v xml:space="preserve">STYLE </v>
          </cell>
        </row>
      </sheetData>
      <sheetData sheetId="1412">
        <row r="2">
          <cell r="B2" t="str">
            <v xml:space="preserve">STYLE </v>
          </cell>
        </row>
      </sheetData>
      <sheetData sheetId="1413"/>
      <sheetData sheetId="1414"/>
      <sheetData sheetId="1415">
        <row r="2">
          <cell r="B2" t="str">
            <v>LI</v>
          </cell>
        </row>
      </sheetData>
      <sheetData sheetId="1416">
        <row r="2">
          <cell r="B2" t="str">
            <v xml:space="preserve">STYLE </v>
          </cell>
        </row>
      </sheetData>
      <sheetData sheetId="1417"/>
      <sheetData sheetId="1418"/>
      <sheetData sheetId="1419"/>
      <sheetData sheetId="1420">
        <row r="2">
          <cell r="B2" t="str">
            <v xml:space="preserve">STYLE </v>
          </cell>
        </row>
      </sheetData>
      <sheetData sheetId="1421"/>
      <sheetData sheetId="1422">
        <row r="2">
          <cell r="B2" t="str">
            <v>LI</v>
          </cell>
        </row>
      </sheetData>
      <sheetData sheetId="1423">
        <row r="2">
          <cell r="B2" t="str">
            <v>LI</v>
          </cell>
        </row>
      </sheetData>
      <sheetData sheetId="1424">
        <row r="2">
          <cell r="B2" t="str">
            <v xml:space="preserve">STYLE </v>
          </cell>
        </row>
      </sheetData>
      <sheetData sheetId="1425">
        <row r="2">
          <cell r="B2" t="str">
            <v xml:space="preserve">STYLE </v>
          </cell>
        </row>
      </sheetData>
      <sheetData sheetId="1426">
        <row r="2">
          <cell r="B2" t="str">
            <v xml:space="preserve">STYLE </v>
          </cell>
        </row>
      </sheetData>
      <sheetData sheetId="1427">
        <row r="2">
          <cell r="B2" t="str">
            <v>LI</v>
          </cell>
        </row>
      </sheetData>
      <sheetData sheetId="1428"/>
      <sheetData sheetId="1429">
        <row r="2">
          <cell r="B2" t="str">
            <v xml:space="preserve">STYLE </v>
          </cell>
        </row>
      </sheetData>
      <sheetData sheetId="1430">
        <row r="2">
          <cell r="B2" t="str">
            <v xml:space="preserve">STYLE </v>
          </cell>
        </row>
      </sheetData>
      <sheetData sheetId="1431">
        <row r="2">
          <cell r="B2" t="str">
            <v xml:space="preserve">STYLE </v>
          </cell>
        </row>
      </sheetData>
      <sheetData sheetId="1432">
        <row r="2">
          <cell r="B2" t="str">
            <v xml:space="preserve">STYLE </v>
          </cell>
        </row>
      </sheetData>
      <sheetData sheetId="1433"/>
      <sheetData sheetId="1434"/>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sheetData sheetId="1441">
        <row r="2">
          <cell r="B2" t="str">
            <v xml:space="preserve">STYLE </v>
          </cell>
        </row>
      </sheetData>
      <sheetData sheetId="1442">
        <row r="2">
          <cell r="B2" t="str">
            <v xml:space="preserve">STYLE </v>
          </cell>
        </row>
      </sheetData>
      <sheetData sheetId="1443">
        <row r="2">
          <cell r="B2" t="str">
            <v xml:space="preserve">STYLE </v>
          </cell>
        </row>
      </sheetData>
      <sheetData sheetId="1444">
        <row r="2">
          <cell r="B2" t="str">
            <v xml:space="preserve">STYLE </v>
          </cell>
        </row>
      </sheetData>
      <sheetData sheetId="1445">
        <row r="2">
          <cell r="B2" t="str">
            <v xml:space="preserve">STYLE </v>
          </cell>
        </row>
      </sheetData>
      <sheetData sheetId="1446">
        <row r="2">
          <cell r="B2" t="str">
            <v xml:space="preserve">STYLE </v>
          </cell>
        </row>
      </sheetData>
      <sheetData sheetId="1447">
        <row r="2">
          <cell r="B2" t="str">
            <v xml:space="preserve">STYLE </v>
          </cell>
        </row>
      </sheetData>
      <sheetData sheetId="1448">
        <row r="2">
          <cell r="B2" t="str">
            <v xml:space="preserve">STYLE </v>
          </cell>
        </row>
      </sheetData>
      <sheetData sheetId="1449">
        <row r="2">
          <cell r="B2" t="str">
            <v xml:space="preserve">STYLE </v>
          </cell>
        </row>
      </sheetData>
      <sheetData sheetId="1450">
        <row r="2">
          <cell r="B2" t="str">
            <v xml:space="preserve">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 xml:space="preserve">STYLE </v>
          </cell>
        </row>
      </sheetData>
      <sheetData sheetId="1460">
        <row r="2">
          <cell r="B2" t="str">
            <v xml:space="preserve">STYLE </v>
          </cell>
        </row>
      </sheetData>
      <sheetData sheetId="1461">
        <row r="2">
          <cell r="B2" t="str">
            <v xml:space="preserve">STYLE </v>
          </cell>
        </row>
      </sheetData>
      <sheetData sheetId="1462">
        <row r="2">
          <cell r="B2" t="str">
            <v xml:space="preserve">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 xml:space="preserve">STYLE </v>
          </cell>
        </row>
      </sheetData>
      <sheetData sheetId="1472">
        <row r="2">
          <cell r="B2" t="str">
            <v xml:space="preserve">STYLE </v>
          </cell>
        </row>
      </sheetData>
      <sheetData sheetId="1473">
        <row r="2">
          <cell r="B2" t="str">
            <v xml:space="preserve">STYLE </v>
          </cell>
        </row>
      </sheetData>
      <sheetData sheetId="1474">
        <row r="2">
          <cell r="B2" t="str">
            <v xml:space="preserve">STYLE </v>
          </cell>
        </row>
      </sheetData>
      <sheetData sheetId="1475"/>
      <sheetData sheetId="1476"/>
      <sheetData sheetId="1477"/>
      <sheetData sheetId="1478"/>
      <sheetData sheetId="1479">
        <row r="3">
          <cell r="K3" t="str">
            <v>FOR THE MONTH ENDED JANUARY 1995</v>
          </cell>
        </row>
      </sheetData>
      <sheetData sheetId="1480">
        <row r="2">
          <cell r="B2" t="str">
            <v xml:space="preserve">STYLE </v>
          </cell>
        </row>
      </sheetData>
      <sheetData sheetId="1481">
        <row r="2">
          <cell r="B2" t="str">
            <v xml:space="preserve">STYLE </v>
          </cell>
        </row>
      </sheetData>
      <sheetData sheetId="1482">
        <row r="2">
          <cell r="B2" t="str">
            <v xml:space="preserve">STYLE </v>
          </cell>
        </row>
      </sheetData>
      <sheetData sheetId="1483">
        <row r="2">
          <cell r="B2" t="str">
            <v xml:space="preserve">STYLE </v>
          </cell>
        </row>
      </sheetData>
      <sheetData sheetId="1484"/>
      <sheetData sheetId="1485"/>
      <sheetData sheetId="1486">
        <row r="2">
          <cell r="B2" t="str">
            <v xml:space="preserve">STYLE </v>
          </cell>
        </row>
      </sheetData>
      <sheetData sheetId="1487">
        <row r="2">
          <cell r="B2" t="str">
            <v>LI</v>
          </cell>
        </row>
      </sheetData>
      <sheetData sheetId="1488">
        <row r="2">
          <cell r="B2" t="str">
            <v xml:space="preserve">STYLE </v>
          </cell>
        </row>
      </sheetData>
      <sheetData sheetId="1489">
        <row r="2">
          <cell r="B2" t="str">
            <v xml:space="preserve">STYLE </v>
          </cell>
        </row>
      </sheetData>
      <sheetData sheetId="1490">
        <row r="2">
          <cell r="B2" t="str">
            <v xml:space="preserve">STYLE </v>
          </cell>
        </row>
      </sheetData>
      <sheetData sheetId="1491">
        <row r="2">
          <cell r="B2" t="str">
            <v xml:space="preserve">STYLE </v>
          </cell>
        </row>
      </sheetData>
      <sheetData sheetId="1492">
        <row r="2">
          <cell r="B2" t="str">
            <v xml:space="preserve">STYLE </v>
          </cell>
        </row>
      </sheetData>
      <sheetData sheetId="1493"/>
      <sheetData sheetId="1494"/>
      <sheetData sheetId="1495"/>
      <sheetData sheetId="1496"/>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sheetData sheetId="1503">
        <row r="2">
          <cell r="B2" t="str">
            <v xml:space="preserve">STYLE </v>
          </cell>
        </row>
      </sheetData>
      <sheetData sheetId="1504"/>
      <sheetData sheetId="1505">
        <row r="2">
          <cell r="B2" t="str">
            <v>LI</v>
          </cell>
        </row>
      </sheetData>
      <sheetData sheetId="1506">
        <row r="2">
          <cell r="B2" t="str">
            <v>LI</v>
          </cell>
        </row>
      </sheetData>
      <sheetData sheetId="1507">
        <row r="2">
          <cell r="B2" t="str">
            <v xml:space="preserve">STYLE </v>
          </cell>
        </row>
      </sheetData>
      <sheetData sheetId="1508">
        <row r="2">
          <cell r="B2" t="str">
            <v xml:space="preserve">STYLE </v>
          </cell>
        </row>
      </sheetData>
      <sheetData sheetId="1509">
        <row r="2">
          <cell r="B2" t="str">
            <v xml:space="preserve">STYLE </v>
          </cell>
        </row>
      </sheetData>
      <sheetData sheetId="1510">
        <row r="2">
          <cell r="B2" t="str">
            <v>LI</v>
          </cell>
        </row>
      </sheetData>
      <sheetData sheetId="1511"/>
      <sheetData sheetId="1512">
        <row r="2">
          <cell r="B2" t="str">
            <v xml:space="preserve">STYLE </v>
          </cell>
        </row>
      </sheetData>
      <sheetData sheetId="1513">
        <row r="2">
          <cell r="B2" t="str">
            <v xml:space="preserve">STYLE </v>
          </cell>
        </row>
      </sheetData>
      <sheetData sheetId="1514">
        <row r="2">
          <cell r="B2" t="str">
            <v>LI</v>
          </cell>
        </row>
      </sheetData>
      <sheetData sheetId="1515">
        <row r="2">
          <cell r="B2" t="str">
            <v xml:space="preserve">STYLE </v>
          </cell>
        </row>
      </sheetData>
      <sheetData sheetId="1516"/>
      <sheetData sheetId="1517">
        <row r="3">
          <cell r="K3" t="str">
            <v>FOR THE MONTH ENDED JANUARY 1995</v>
          </cell>
        </row>
      </sheetData>
      <sheetData sheetId="1518"/>
      <sheetData sheetId="1519"/>
      <sheetData sheetId="1520"/>
      <sheetData sheetId="1521"/>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 xml:space="preserve">STYLE </v>
          </cell>
        </row>
      </sheetData>
      <sheetData sheetId="1527">
        <row r="2">
          <cell r="B2" t="str">
            <v xml:space="preserve">STYLE </v>
          </cell>
        </row>
      </sheetData>
      <sheetData sheetId="1528">
        <row r="2">
          <cell r="B2" t="str">
            <v xml:space="preserve">STYLE </v>
          </cell>
        </row>
      </sheetData>
      <sheetData sheetId="1529">
        <row r="2">
          <cell r="B2" t="str">
            <v xml:space="preserve">STYLE </v>
          </cell>
        </row>
      </sheetData>
      <sheetData sheetId="1530">
        <row r="2">
          <cell r="B2" t="str">
            <v xml:space="preserve">STYLE </v>
          </cell>
        </row>
      </sheetData>
      <sheetData sheetId="1531">
        <row r="2">
          <cell r="B2" t="str">
            <v xml:space="preserve">STYLE </v>
          </cell>
        </row>
      </sheetData>
      <sheetData sheetId="1532">
        <row r="2">
          <cell r="B2" t="str">
            <v xml:space="preserve">STYLE </v>
          </cell>
        </row>
      </sheetData>
      <sheetData sheetId="1533">
        <row r="2">
          <cell r="B2" t="str">
            <v xml:space="preserve">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row r="2">
          <cell r="B2" t="str">
            <v xml:space="preserve">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LI</v>
          </cell>
        </row>
      </sheetData>
      <sheetData sheetId="1575">
        <row r="2">
          <cell r="B2" t="str">
            <v xml:space="preserve">STYLE </v>
          </cell>
        </row>
      </sheetData>
      <sheetData sheetId="1576"/>
      <sheetData sheetId="1577"/>
      <sheetData sheetId="1578"/>
      <sheetData sheetId="1579"/>
      <sheetData sheetId="1580"/>
      <sheetData sheetId="1581">
        <row r="2">
          <cell r="B2" t="str">
            <v>LI</v>
          </cell>
        </row>
      </sheetData>
      <sheetData sheetId="1582">
        <row r="2">
          <cell r="B2" t="str">
            <v xml:space="preserve">STYLE </v>
          </cell>
        </row>
      </sheetData>
      <sheetData sheetId="1583"/>
      <sheetData sheetId="1584"/>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2">
          <cell r="B2" t="str">
            <v xml:space="preserve">STYLE </v>
          </cell>
        </row>
      </sheetData>
      <sheetData sheetId="1590">
        <row r="2">
          <cell r="B2" t="str">
            <v xml:space="preserve">STYLE </v>
          </cell>
        </row>
      </sheetData>
      <sheetData sheetId="1591">
        <row r="2">
          <cell r="B2" t="str">
            <v xml:space="preserve">STYLE </v>
          </cell>
        </row>
      </sheetData>
      <sheetData sheetId="1592">
        <row r="2">
          <cell r="B2" t="str">
            <v xml:space="preserve">STYLE </v>
          </cell>
        </row>
      </sheetData>
      <sheetData sheetId="1593">
        <row r="2">
          <cell r="B2" t="str">
            <v>LI</v>
          </cell>
        </row>
      </sheetData>
      <sheetData sheetId="1594">
        <row r="2">
          <cell r="B2" t="str">
            <v xml:space="preserve">STYLE </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2">
          <cell r="B2" t="str">
            <v xml:space="preserve">STYLE </v>
          </cell>
        </row>
      </sheetData>
      <sheetData sheetId="1601"/>
      <sheetData sheetId="1602">
        <row r="2">
          <cell r="B2" t="str">
            <v xml:space="preserve">STYLE </v>
          </cell>
        </row>
      </sheetData>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row r="2">
          <cell r="B2" t="str">
            <v xml:space="preserve">STYLE </v>
          </cell>
        </row>
      </sheetData>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row r="2">
          <cell r="B2" t="str">
            <v xml:space="preserve">STYLE </v>
          </cell>
        </row>
      </sheetData>
      <sheetData sheetId="1613">
        <row r="2">
          <cell r="B2" t="str">
            <v xml:space="preserve">STYLE </v>
          </cell>
        </row>
      </sheetData>
      <sheetData sheetId="1614">
        <row r="2">
          <cell r="B2" t="str">
            <v xml:space="preserve">STYLE </v>
          </cell>
        </row>
      </sheetData>
      <sheetData sheetId="1615">
        <row r="2">
          <cell r="B2" t="str">
            <v xml:space="preserve">STYLE </v>
          </cell>
        </row>
      </sheetData>
      <sheetData sheetId="1616">
        <row r="2">
          <cell r="B2" t="str">
            <v xml:space="preserve">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 xml:space="preserve">STYLE </v>
          </cell>
        </row>
      </sheetData>
      <sheetData sheetId="1640">
        <row r="2">
          <cell r="B2" t="str">
            <v xml:space="preserve">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 xml:space="preserve">STYLE </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sheetData sheetId="1653">
        <row r="2">
          <cell r="B2" t="str">
            <v>LI</v>
          </cell>
        </row>
      </sheetData>
      <sheetData sheetId="1654"/>
      <sheetData sheetId="1655">
        <row r="2">
          <cell r="B2" t="str">
            <v xml:space="preserve">STYLE </v>
          </cell>
        </row>
      </sheetData>
      <sheetData sheetId="1656">
        <row r="2">
          <cell r="B2" t="str">
            <v xml:space="preserve">STYLE </v>
          </cell>
        </row>
      </sheetData>
      <sheetData sheetId="1657">
        <row r="2">
          <cell r="B2" t="str">
            <v xml:space="preserve">STYLE </v>
          </cell>
        </row>
      </sheetData>
      <sheetData sheetId="1658">
        <row r="2">
          <cell r="B2" t="str">
            <v xml:space="preserve">STYLE </v>
          </cell>
        </row>
      </sheetData>
      <sheetData sheetId="1659"/>
      <sheetData sheetId="1660"/>
      <sheetData sheetId="1661"/>
      <sheetData sheetId="1662"/>
      <sheetData sheetId="1663"/>
      <sheetData sheetId="1664">
        <row r="2">
          <cell r="B2" t="str">
            <v>LI</v>
          </cell>
        </row>
      </sheetData>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row r="2">
          <cell r="B2" t="str">
            <v>LI</v>
          </cell>
        </row>
      </sheetData>
      <sheetData sheetId="1672">
        <row r="2">
          <cell r="B2" t="str">
            <v>LI</v>
          </cell>
        </row>
      </sheetData>
      <sheetData sheetId="1673">
        <row r="2">
          <cell r="B2" t="str">
            <v xml:space="preserve">STYLE </v>
          </cell>
        </row>
      </sheetData>
      <sheetData sheetId="1674">
        <row r="2">
          <cell r="B2" t="str">
            <v xml:space="preserve">STYLE </v>
          </cell>
        </row>
      </sheetData>
      <sheetData sheetId="1675">
        <row r="2">
          <cell r="B2" t="str">
            <v xml:space="preserve">STYLE </v>
          </cell>
        </row>
      </sheetData>
      <sheetData sheetId="1676">
        <row r="2">
          <cell r="B2" t="str">
            <v>LI</v>
          </cell>
        </row>
      </sheetData>
      <sheetData sheetId="1677">
        <row r="2">
          <cell r="B2" t="str">
            <v xml:space="preserve">STYLE </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 xml:space="preserve">STYLE </v>
          </cell>
        </row>
      </sheetData>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 xml:space="preserve">STYLE </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sheetData sheetId="1718">
        <row r="2">
          <cell r="B2" t="str">
            <v>LI</v>
          </cell>
        </row>
      </sheetData>
      <sheetData sheetId="1719"/>
      <sheetData sheetId="1720">
        <row r="2">
          <cell r="B2" t="str">
            <v xml:space="preserve">STYLE </v>
          </cell>
        </row>
      </sheetData>
      <sheetData sheetId="1721">
        <row r="2">
          <cell r="B2" t="str">
            <v xml:space="preserve">STYLE </v>
          </cell>
        </row>
      </sheetData>
      <sheetData sheetId="1722">
        <row r="2">
          <cell r="B2" t="str">
            <v>LI</v>
          </cell>
        </row>
      </sheetData>
      <sheetData sheetId="1723">
        <row r="2">
          <cell r="B2" t="str">
            <v xml:space="preserve">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 xml:space="preserve">STYLE </v>
          </cell>
        </row>
      </sheetData>
      <sheetData sheetId="1739">
        <row r="2">
          <cell r="B2" t="str">
            <v xml:space="preserve">STYLE </v>
          </cell>
        </row>
      </sheetData>
      <sheetData sheetId="1740">
        <row r="2">
          <cell r="B2" t="str">
            <v xml:space="preserve">STYLE </v>
          </cell>
        </row>
      </sheetData>
      <sheetData sheetId="1741">
        <row r="2">
          <cell r="B2" t="str">
            <v xml:space="preserve">STYLE </v>
          </cell>
        </row>
      </sheetData>
      <sheetData sheetId="1742">
        <row r="2">
          <cell r="B2" t="str">
            <v xml:space="preserve">STYLE </v>
          </cell>
        </row>
      </sheetData>
      <sheetData sheetId="1743">
        <row r="2">
          <cell r="B2" t="str">
            <v xml:space="preserve">STYLE </v>
          </cell>
        </row>
      </sheetData>
      <sheetData sheetId="1744">
        <row r="2">
          <cell r="B2" t="str">
            <v xml:space="preserve">STYLE </v>
          </cell>
        </row>
      </sheetData>
      <sheetData sheetId="1745">
        <row r="2">
          <cell r="B2" t="str">
            <v xml:space="preserve">STYLE </v>
          </cell>
        </row>
      </sheetData>
      <sheetData sheetId="1746">
        <row r="2">
          <cell r="B2" t="str">
            <v xml:space="preserve">STYLE </v>
          </cell>
        </row>
      </sheetData>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sheetData sheetId="1751"/>
      <sheetData sheetId="1752">
        <row r="2">
          <cell r="B2" t="str">
            <v xml:space="preserve">STYLE </v>
          </cell>
        </row>
      </sheetData>
      <sheetData sheetId="1753"/>
      <sheetData sheetId="1754">
        <row r="2">
          <cell r="B2" t="str">
            <v>LI</v>
          </cell>
        </row>
      </sheetData>
      <sheetData sheetId="1755">
        <row r="2">
          <cell r="B2" t="str">
            <v>LI</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LI</v>
          </cell>
        </row>
      </sheetData>
      <sheetData sheetId="1760"/>
      <sheetData sheetId="1761">
        <row r="2">
          <cell r="B2" t="str">
            <v xml:space="preserve">STYLE </v>
          </cell>
        </row>
      </sheetData>
      <sheetData sheetId="1762">
        <row r="2">
          <cell r="B2" t="str">
            <v xml:space="preserve">STYLE </v>
          </cell>
        </row>
      </sheetData>
      <sheetData sheetId="1763">
        <row r="2">
          <cell r="B2" t="str">
            <v xml:space="preserve">STYLE </v>
          </cell>
        </row>
      </sheetData>
      <sheetData sheetId="1764">
        <row r="2">
          <cell r="B2" t="str">
            <v xml:space="preserve">STYLE </v>
          </cell>
        </row>
      </sheetData>
      <sheetData sheetId="1765"/>
      <sheetData sheetId="1766"/>
      <sheetData sheetId="1767"/>
      <sheetData sheetId="1768"/>
      <sheetData sheetId="1769"/>
      <sheetData sheetId="1770">
        <row r="2">
          <cell r="B2" t="str">
            <v xml:space="preserve">STYLE </v>
          </cell>
        </row>
      </sheetData>
      <sheetData sheetId="1771">
        <row r="2">
          <cell r="B2" t="str">
            <v xml:space="preserve">STYLE </v>
          </cell>
        </row>
      </sheetData>
      <sheetData sheetId="1772">
        <row r="2">
          <cell r="B2" t="str">
            <v xml:space="preserve">STYLE </v>
          </cell>
        </row>
      </sheetData>
      <sheetData sheetId="1773">
        <row r="2">
          <cell r="B2" t="str">
            <v xml:space="preserve">STYLE </v>
          </cell>
        </row>
      </sheetData>
      <sheetData sheetId="1774">
        <row r="2">
          <cell r="B2" t="str">
            <v xml:space="preserve">STYLE </v>
          </cell>
        </row>
      </sheetData>
      <sheetData sheetId="1775">
        <row r="2">
          <cell r="B2" t="str">
            <v xml:space="preserve">STYLE </v>
          </cell>
        </row>
      </sheetData>
      <sheetData sheetId="1776">
        <row r="2">
          <cell r="B2" t="str">
            <v xml:space="preserve">STYLE </v>
          </cell>
        </row>
      </sheetData>
      <sheetData sheetId="1777">
        <row r="2">
          <cell r="B2" t="str">
            <v xml:space="preserve">STYLE </v>
          </cell>
        </row>
      </sheetData>
      <sheetData sheetId="1778">
        <row r="2">
          <cell r="B2" t="str">
            <v xml:space="preserve">STYLE </v>
          </cell>
        </row>
      </sheetData>
      <sheetData sheetId="1779">
        <row r="2">
          <cell r="B2" t="str">
            <v xml:space="preserve">STYLE </v>
          </cell>
        </row>
      </sheetData>
      <sheetData sheetId="1780">
        <row r="2">
          <cell r="B2" t="str">
            <v xml:space="preserve">STYLE </v>
          </cell>
        </row>
      </sheetData>
      <sheetData sheetId="1781">
        <row r="2">
          <cell r="B2" t="str">
            <v xml:space="preserve">STYLE </v>
          </cell>
        </row>
      </sheetData>
      <sheetData sheetId="1782">
        <row r="2">
          <cell r="B2" t="str">
            <v xml:space="preserve">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row r="2">
          <cell r="B2" t="str">
            <v xml:space="preserve">STYLE </v>
          </cell>
        </row>
      </sheetData>
      <sheetData sheetId="1806">
        <row r="2">
          <cell r="B2" t="str">
            <v xml:space="preserve">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 xml:space="preserve">STYLE </v>
          </cell>
        </row>
      </sheetData>
      <sheetData sheetId="1817">
        <row r="2">
          <cell r="B2" t="str">
            <v xml:space="preserve">STYLE </v>
          </cell>
        </row>
      </sheetData>
      <sheetData sheetId="1818"/>
      <sheetData sheetId="1819">
        <row r="2">
          <cell r="B2" t="str">
            <v>LI</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sheetData sheetId="1826"/>
      <sheetData sheetId="1827"/>
      <sheetData sheetId="1828"/>
      <sheetData sheetId="1829">
        <row r="2">
          <cell r="B2" t="str">
            <v xml:space="preserve">STYLE </v>
          </cell>
        </row>
      </sheetData>
      <sheetData sheetId="1830">
        <row r="2">
          <cell r="B2" t="str">
            <v xml:space="preserve">STYLE </v>
          </cell>
        </row>
      </sheetData>
      <sheetData sheetId="1831">
        <row r="2">
          <cell r="B2" t="str">
            <v xml:space="preserve">STYLE </v>
          </cell>
        </row>
      </sheetData>
      <sheetData sheetId="1832">
        <row r="2">
          <cell r="B2" t="str">
            <v xml:space="preserve">STYLE </v>
          </cell>
        </row>
      </sheetData>
      <sheetData sheetId="1833"/>
      <sheetData sheetId="1834"/>
      <sheetData sheetId="1835">
        <row r="2">
          <cell r="B2" t="str">
            <v xml:space="preserve">STYLE </v>
          </cell>
        </row>
      </sheetData>
      <sheetData sheetId="1836">
        <row r="2">
          <cell r="B2" t="str">
            <v xml:space="preserve">STYLE </v>
          </cell>
        </row>
      </sheetData>
      <sheetData sheetId="1837">
        <row r="2">
          <cell r="B2" t="str">
            <v>LI</v>
          </cell>
        </row>
      </sheetData>
      <sheetData sheetId="1838">
        <row r="2">
          <cell r="B2" t="str">
            <v xml:space="preserve">STYLE </v>
          </cell>
        </row>
      </sheetData>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LI</v>
          </cell>
        </row>
      </sheetData>
      <sheetData sheetId="1843"/>
      <sheetData sheetId="1844">
        <row r="2">
          <cell r="B2" t="str">
            <v xml:space="preserve">STYLE </v>
          </cell>
        </row>
      </sheetData>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 xml:space="preserve">STYLE </v>
          </cell>
        </row>
      </sheetData>
      <sheetData sheetId="1857">
        <row r="2">
          <cell r="B2" t="str">
            <v xml:space="preserve">STYLE </v>
          </cell>
        </row>
      </sheetData>
      <sheetData sheetId="1858">
        <row r="2">
          <cell r="B2" t="str">
            <v xml:space="preserve">STYLE </v>
          </cell>
        </row>
      </sheetData>
      <sheetData sheetId="1859">
        <row r="2">
          <cell r="B2" t="str">
            <v xml:space="preserve">STYLE </v>
          </cell>
        </row>
      </sheetData>
      <sheetData sheetId="1860">
        <row r="2">
          <cell r="B2" t="str">
            <v xml:space="preserve">STYLE </v>
          </cell>
        </row>
      </sheetData>
      <sheetData sheetId="1861">
        <row r="2">
          <cell r="B2" t="str">
            <v xml:space="preserve">STYLE </v>
          </cell>
        </row>
      </sheetData>
      <sheetData sheetId="1862">
        <row r="2">
          <cell r="B2" t="str">
            <v xml:space="preserve">STYLE </v>
          </cell>
        </row>
      </sheetData>
      <sheetData sheetId="1863">
        <row r="2">
          <cell r="B2" t="str">
            <v xml:space="preserve">STYLE </v>
          </cell>
        </row>
      </sheetData>
      <sheetData sheetId="1864">
        <row r="2">
          <cell r="B2" t="str">
            <v xml:space="preserve">STYLE </v>
          </cell>
        </row>
      </sheetData>
      <sheetData sheetId="1865">
        <row r="2">
          <cell r="B2" t="str">
            <v xml:space="preserve">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 xml:space="preserve">STYLE </v>
          </cell>
        </row>
      </sheetData>
      <sheetData sheetId="1887">
        <row r="2">
          <cell r="B2" t="str">
            <v xml:space="preserve">STYLE </v>
          </cell>
        </row>
      </sheetData>
      <sheetData sheetId="1888">
        <row r="2">
          <cell r="B2" t="str">
            <v xml:space="preserve">STYLE </v>
          </cell>
        </row>
      </sheetData>
      <sheetData sheetId="1889">
        <row r="2">
          <cell r="B2" t="str">
            <v xml:space="preserve">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 xml:space="preserve">STYLE </v>
          </cell>
        </row>
      </sheetData>
      <sheetData sheetId="1901">
        <row r="2">
          <cell r="B2" t="str">
            <v xml:space="preserve">STYLE </v>
          </cell>
        </row>
      </sheetData>
      <sheetData sheetId="1902">
        <row r="2">
          <cell r="B2" t="str">
            <v>LI</v>
          </cell>
        </row>
      </sheetData>
      <sheetData sheetId="1903">
        <row r="2">
          <cell r="B2" t="str">
            <v xml:space="preserve">STYLE </v>
          </cell>
        </row>
      </sheetData>
      <sheetData sheetId="1904">
        <row r="2">
          <cell r="B2" t="str">
            <v xml:space="preserve">STYLE </v>
          </cell>
        </row>
      </sheetData>
      <sheetData sheetId="1905">
        <row r="2">
          <cell r="B2" t="str">
            <v xml:space="preserve">STYLE </v>
          </cell>
        </row>
      </sheetData>
      <sheetData sheetId="1906">
        <row r="2">
          <cell r="B2" t="str">
            <v xml:space="preserve">STYLE </v>
          </cell>
        </row>
      </sheetData>
      <sheetData sheetId="1907">
        <row r="2">
          <cell r="B2" t="str">
            <v xml:space="preserve">STYLE </v>
          </cell>
        </row>
      </sheetData>
      <sheetData sheetId="1908">
        <row r="2">
          <cell r="B2" t="str">
            <v>LI</v>
          </cell>
        </row>
      </sheetData>
      <sheetData sheetId="1909"/>
      <sheetData sheetId="1910"/>
      <sheetData sheetId="1911"/>
      <sheetData sheetId="1912">
        <row r="2">
          <cell r="B2" t="str">
            <v xml:space="preserve">STYLE </v>
          </cell>
        </row>
      </sheetData>
      <sheetData sheetId="1913">
        <row r="2">
          <cell r="B2" t="str">
            <v xml:space="preserve">STYLE </v>
          </cell>
        </row>
      </sheetData>
      <sheetData sheetId="1914">
        <row r="2">
          <cell r="B2" t="str">
            <v xml:space="preserve">STYLE </v>
          </cell>
        </row>
      </sheetData>
      <sheetData sheetId="1915">
        <row r="2">
          <cell r="B2" t="str">
            <v xml:space="preserve">STYLE </v>
          </cell>
        </row>
      </sheetData>
      <sheetData sheetId="1916"/>
      <sheetData sheetId="1917"/>
      <sheetData sheetId="1918">
        <row r="2">
          <cell r="B2" t="str">
            <v xml:space="preserve">STYLE </v>
          </cell>
        </row>
      </sheetData>
      <sheetData sheetId="1919"/>
      <sheetData sheetId="1920">
        <row r="2">
          <cell r="B2" t="str">
            <v>LI</v>
          </cell>
        </row>
      </sheetData>
      <sheetData sheetId="1921">
        <row r="2">
          <cell r="B2" t="str">
            <v>LI</v>
          </cell>
        </row>
      </sheetData>
      <sheetData sheetId="1922">
        <row r="2">
          <cell r="B2" t="str">
            <v xml:space="preserve">STYLE </v>
          </cell>
        </row>
      </sheetData>
      <sheetData sheetId="1923">
        <row r="2">
          <cell r="B2" t="str">
            <v xml:space="preserve">STYLE </v>
          </cell>
        </row>
      </sheetData>
      <sheetData sheetId="1924">
        <row r="2">
          <cell r="B2" t="str">
            <v xml:space="preserve">STYLE </v>
          </cell>
        </row>
      </sheetData>
      <sheetData sheetId="1925">
        <row r="2">
          <cell r="B2" t="str">
            <v>LI</v>
          </cell>
        </row>
      </sheetData>
      <sheetData sheetId="1926"/>
      <sheetData sheetId="1927">
        <row r="2">
          <cell r="B2" t="str">
            <v xml:space="preserve">STYLE </v>
          </cell>
        </row>
      </sheetData>
      <sheetData sheetId="1928">
        <row r="2">
          <cell r="B2" t="str">
            <v>LI</v>
          </cell>
        </row>
      </sheetData>
      <sheetData sheetId="1929">
        <row r="2">
          <cell r="B2" t="str">
            <v xml:space="preserve">STYLE </v>
          </cell>
        </row>
      </sheetData>
      <sheetData sheetId="1930">
        <row r="2">
          <cell r="B2" t="str">
            <v xml:space="preserve">STYLE </v>
          </cell>
        </row>
      </sheetData>
      <sheetData sheetId="1931">
        <row r="2">
          <cell r="B2" t="str">
            <v xml:space="preserve">STYLE </v>
          </cell>
        </row>
      </sheetData>
      <sheetData sheetId="1932">
        <row r="2">
          <cell r="B2" t="str">
            <v xml:space="preserve">STYLE </v>
          </cell>
        </row>
      </sheetData>
      <sheetData sheetId="1933">
        <row r="2">
          <cell r="B2" t="str">
            <v xml:space="preserve">STYLE </v>
          </cell>
        </row>
      </sheetData>
      <sheetData sheetId="1934">
        <row r="2">
          <cell r="B2" t="str">
            <v xml:space="preserve">STYLE </v>
          </cell>
        </row>
      </sheetData>
      <sheetData sheetId="1935">
        <row r="2">
          <cell r="B2" t="str">
            <v>LI</v>
          </cell>
        </row>
      </sheetData>
      <sheetData sheetId="1936"/>
      <sheetData sheetId="1937"/>
      <sheetData sheetId="1938"/>
      <sheetData sheetId="1939">
        <row r="2">
          <cell r="B2" t="str">
            <v xml:space="preserve">STYLE </v>
          </cell>
        </row>
      </sheetData>
      <sheetData sheetId="1940">
        <row r="2">
          <cell r="B2" t="str">
            <v xml:space="preserve">STYLE </v>
          </cell>
        </row>
      </sheetData>
      <sheetData sheetId="1941">
        <row r="2">
          <cell r="B2" t="str">
            <v xml:space="preserve">STYLE </v>
          </cell>
        </row>
      </sheetData>
      <sheetData sheetId="1942">
        <row r="2">
          <cell r="B2" t="str">
            <v xml:space="preserve">STYLE </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row r="2">
          <cell r="B2" t="str">
            <v xml:space="preserve">STYLE </v>
          </cell>
        </row>
      </sheetData>
      <sheetData sheetId="1947">
        <row r="2">
          <cell r="B2" t="str">
            <v xml:space="preserve">STYLE </v>
          </cell>
        </row>
      </sheetData>
      <sheetData sheetId="1948">
        <row r="2">
          <cell r="B2" t="str">
            <v xml:space="preserve">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 xml:space="preserve">STYLE </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row r="2">
          <cell r="B2" t="str">
            <v>LI</v>
          </cell>
        </row>
      </sheetData>
      <sheetData sheetId="1968"/>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row r="2">
          <cell r="B2" t="str">
            <v xml:space="preserve">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sheetData sheetId="1992"/>
      <sheetData sheetId="1993"/>
      <sheetData sheetId="1994"/>
      <sheetData sheetId="1995"/>
      <sheetData sheetId="1996"/>
      <sheetData sheetId="1997">
        <row r="2">
          <cell r="B2" t="str">
            <v xml:space="preserve">STYLE </v>
          </cell>
        </row>
      </sheetData>
      <sheetData sheetId="1998"/>
      <sheetData sheetId="1999"/>
      <sheetData sheetId="2000">
        <row r="3">
          <cell r="K3" t="str">
            <v>FOR THE MONTH ENDED JANUARY 1995</v>
          </cell>
        </row>
      </sheetData>
      <sheetData sheetId="2001">
        <row r="2">
          <cell r="B2" t="str">
            <v xml:space="preserve">STYLE </v>
          </cell>
        </row>
      </sheetData>
      <sheetData sheetId="2002"/>
      <sheetData sheetId="2003">
        <row r="2">
          <cell r="B2" t="str">
            <v>LI</v>
          </cell>
        </row>
      </sheetData>
      <sheetData sheetId="2004">
        <row r="2">
          <cell r="B2" t="str">
            <v>LI</v>
          </cell>
        </row>
      </sheetData>
      <sheetData sheetId="2005">
        <row r="2">
          <cell r="B2" t="str">
            <v xml:space="preserve">STYLE </v>
          </cell>
        </row>
      </sheetData>
      <sheetData sheetId="2006">
        <row r="2">
          <cell r="B2" t="str">
            <v xml:space="preserve">STYLE </v>
          </cell>
        </row>
      </sheetData>
      <sheetData sheetId="2007">
        <row r="2">
          <cell r="B2" t="str">
            <v xml:space="preserve">STYLE </v>
          </cell>
        </row>
      </sheetData>
      <sheetData sheetId="2008">
        <row r="2">
          <cell r="B2" t="str">
            <v>LI</v>
          </cell>
        </row>
      </sheetData>
      <sheetData sheetId="2009"/>
      <sheetData sheetId="2010">
        <row r="2">
          <cell r="B2" t="str">
            <v xml:space="preserve">STYLE </v>
          </cell>
        </row>
      </sheetData>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sheetData sheetId="2016">
        <row r="2">
          <cell r="B2" t="str">
            <v>LI</v>
          </cell>
        </row>
      </sheetData>
      <sheetData sheetId="2017"/>
      <sheetData sheetId="2018">
        <row r="2">
          <cell r="B2" t="str">
            <v xml:space="preserve">STYLE </v>
          </cell>
        </row>
      </sheetData>
      <sheetData sheetId="2019">
        <row r="2">
          <cell r="B2" t="str">
            <v xml:space="preserve">STYLE </v>
          </cell>
        </row>
      </sheetData>
      <sheetData sheetId="2020">
        <row r="2">
          <cell r="B2" t="str">
            <v xml:space="preserve">STYLE </v>
          </cell>
        </row>
      </sheetData>
      <sheetData sheetId="2021">
        <row r="2">
          <cell r="B2" t="str">
            <v xml:space="preserve">STYLE </v>
          </cell>
        </row>
      </sheetData>
      <sheetData sheetId="2022">
        <row r="2">
          <cell r="B2" t="str">
            <v xml:space="preserve">STYLE </v>
          </cell>
        </row>
      </sheetData>
      <sheetData sheetId="2023">
        <row r="2">
          <cell r="B2" t="str">
            <v xml:space="preserve">STYLE </v>
          </cell>
        </row>
      </sheetData>
      <sheetData sheetId="2024">
        <row r="2">
          <cell r="B2" t="str">
            <v xml:space="preserve">STYLE </v>
          </cell>
        </row>
      </sheetData>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row r="2">
          <cell r="B2" t="str">
            <v xml:space="preserve">STYLE </v>
          </cell>
        </row>
      </sheetData>
      <sheetData sheetId="2029">
        <row r="2">
          <cell r="B2" t="str">
            <v xml:space="preserve">STYLE </v>
          </cell>
        </row>
      </sheetData>
      <sheetData sheetId="2030">
        <row r="2">
          <cell r="B2" t="str">
            <v xml:space="preserve">STYLE </v>
          </cell>
        </row>
      </sheetData>
      <sheetData sheetId="2031">
        <row r="2">
          <cell r="B2" t="str">
            <v xml:space="preserve">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 xml:space="preserve">STYLE </v>
          </cell>
        </row>
      </sheetData>
      <sheetData sheetId="2044">
        <row r="2">
          <cell r="B2" t="str">
            <v xml:space="preserve">STYLE </v>
          </cell>
        </row>
      </sheetData>
      <sheetData sheetId="2045">
        <row r="2">
          <cell r="B2" t="str">
            <v xml:space="preserve">STYLE </v>
          </cell>
        </row>
      </sheetData>
      <sheetData sheetId="2046">
        <row r="2">
          <cell r="B2" t="str">
            <v xml:space="preserve">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row r="2">
          <cell r="B2" t="str">
            <v xml:space="preserve">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 xml:space="preserve">STYLE </v>
          </cell>
        </row>
      </sheetData>
      <sheetData sheetId="2065">
        <row r="2">
          <cell r="B2" t="str">
            <v xml:space="preserve">STYLE </v>
          </cell>
        </row>
      </sheetData>
      <sheetData sheetId="2066"/>
      <sheetData sheetId="2067"/>
      <sheetData sheetId="2068">
        <row r="2">
          <cell r="B2" t="str">
            <v>LI</v>
          </cell>
        </row>
      </sheetData>
      <sheetData sheetId="2069"/>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 xml:space="preserve">STYLE </v>
          </cell>
        </row>
      </sheetData>
      <sheetData sheetId="2085">
        <row r="2">
          <cell r="B2" t="str">
            <v>LI</v>
          </cell>
        </row>
      </sheetData>
      <sheetData sheetId="2086">
        <row r="2">
          <cell r="B2" t="str">
            <v>LI</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LI</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sheetData sheetId="2098"/>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 xml:space="preserve">STYLE </v>
          </cell>
        </row>
      </sheetData>
      <sheetData sheetId="2103"/>
      <sheetData sheetId="2104"/>
      <sheetData sheetId="2105">
        <row r="2">
          <cell r="B2" t="str">
            <v xml:space="preserve">STYLE </v>
          </cell>
        </row>
      </sheetData>
      <sheetData sheetId="2106">
        <row r="2">
          <cell r="B2" t="str">
            <v xml:space="preserve">STYLE </v>
          </cell>
        </row>
      </sheetData>
      <sheetData sheetId="2107">
        <row r="2">
          <cell r="B2" t="str">
            <v xml:space="preserve">STYLE </v>
          </cell>
        </row>
      </sheetData>
      <sheetData sheetId="2108">
        <row r="2">
          <cell r="B2" t="str">
            <v xml:space="preserve">STYLE </v>
          </cell>
        </row>
      </sheetData>
      <sheetData sheetId="2109">
        <row r="2">
          <cell r="B2" t="str">
            <v xml:space="preserve">STYLE </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row r="2">
          <cell r="B2" t="str">
            <v xml:space="preserve">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 xml:space="preserve">STYLE </v>
          </cell>
        </row>
      </sheetData>
      <sheetData sheetId="2129">
        <row r="2">
          <cell r="B2" t="str">
            <v xml:space="preserve">STYLE </v>
          </cell>
        </row>
      </sheetData>
      <sheetData sheetId="2130">
        <row r="2">
          <cell r="B2" t="str">
            <v xml:space="preserve">STYLE </v>
          </cell>
        </row>
      </sheetData>
      <sheetData sheetId="2131"/>
      <sheetData sheetId="2132"/>
      <sheetData sheetId="2133">
        <row r="2">
          <cell r="B2" t="str">
            <v>LI</v>
          </cell>
        </row>
      </sheetData>
      <sheetData sheetId="2134"/>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row r="2">
          <cell r="B2" t="str">
            <v xml:space="preserve">STYLE </v>
          </cell>
        </row>
      </sheetData>
      <sheetData sheetId="2142">
        <row r="2">
          <cell r="B2" t="str">
            <v xml:space="preserve">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 xml:space="preserve">STYLE </v>
          </cell>
        </row>
      </sheetData>
      <sheetData sheetId="2153">
        <row r="2">
          <cell r="B2" t="str">
            <v xml:space="preserve">STYLE </v>
          </cell>
        </row>
      </sheetData>
      <sheetData sheetId="2154">
        <row r="2">
          <cell r="B2" t="str">
            <v xml:space="preserve">STYLE </v>
          </cell>
        </row>
      </sheetData>
      <sheetData sheetId="2155">
        <row r="2">
          <cell r="B2" t="str">
            <v xml:space="preserve">STYLE </v>
          </cell>
        </row>
      </sheetData>
      <sheetData sheetId="2156">
        <row r="2">
          <cell r="B2" t="str">
            <v xml:space="preserve">STYLE </v>
          </cell>
        </row>
      </sheetData>
      <sheetData sheetId="2157"/>
      <sheetData sheetId="2158"/>
      <sheetData sheetId="2159"/>
      <sheetData sheetId="2160"/>
      <sheetData sheetId="2161"/>
      <sheetData sheetId="2162"/>
      <sheetData sheetId="2163"/>
      <sheetData sheetId="2164"/>
      <sheetData sheetId="2165">
        <row r="2">
          <cell r="B2" t="str">
            <v xml:space="preserve">STYLE </v>
          </cell>
        </row>
      </sheetData>
      <sheetData sheetId="2166">
        <row r="2">
          <cell r="B2" t="str">
            <v xml:space="preserve">STYLE </v>
          </cell>
        </row>
      </sheetData>
      <sheetData sheetId="2167">
        <row r="2">
          <cell r="B2" t="str">
            <v xml:space="preserve">STYLE </v>
          </cell>
        </row>
      </sheetData>
      <sheetData sheetId="2168">
        <row r="2">
          <cell r="B2" t="str">
            <v xml:space="preserve">STYLE </v>
          </cell>
        </row>
      </sheetData>
      <sheetData sheetId="2169">
        <row r="2">
          <cell r="B2" t="str">
            <v>LI</v>
          </cell>
        </row>
      </sheetData>
      <sheetData sheetId="2170">
        <row r="2">
          <cell r="B2" t="str">
            <v xml:space="preserve">STYLE </v>
          </cell>
        </row>
      </sheetData>
      <sheetData sheetId="2171">
        <row r="2">
          <cell r="B2" t="str">
            <v xml:space="preserve">STYLE </v>
          </cell>
        </row>
      </sheetData>
      <sheetData sheetId="2172">
        <row r="2">
          <cell r="B2" t="str">
            <v xml:space="preserve">STYLE </v>
          </cell>
        </row>
      </sheetData>
      <sheetData sheetId="2173">
        <row r="2">
          <cell r="B2" t="str">
            <v xml:space="preserve">STYLE </v>
          </cell>
        </row>
      </sheetData>
      <sheetData sheetId="2174">
        <row r="2">
          <cell r="B2" t="str">
            <v>LI</v>
          </cell>
        </row>
      </sheetData>
      <sheetData sheetId="2175"/>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 xml:space="preserve">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 xml:space="preserve">STYLE </v>
          </cell>
        </row>
      </sheetData>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 xml:space="preserve">STYLE </v>
          </cell>
        </row>
      </sheetData>
      <sheetData sheetId="2194">
        <row r="2">
          <cell r="B2" t="str">
            <v xml:space="preserve">STYLE </v>
          </cell>
        </row>
      </sheetData>
      <sheetData sheetId="2195">
        <row r="2">
          <cell r="B2" t="str">
            <v xml:space="preserve">STYLE </v>
          </cell>
        </row>
      </sheetData>
      <sheetData sheetId="2196">
        <row r="2">
          <cell r="B2" t="str">
            <v xml:space="preserve">STYLE </v>
          </cell>
        </row>
      </sheetData>
      <sheetData sheetId="2197">
        <row r="2">
          <cell r="B2" t="str">
            <v xml:space="preserve">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sheetData sheetId="2224"/>
      <sheetData sheetId="2225"/>
      <sheetData sheetId="2226"/>
      <sheetData sheetId="2227"/>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sheetData sheetId="2233"/>
      <sheetData sheetId="2234">
        <row r="2">
          <cell r="B2" t="str">
            <v>LI</v>
          </cell>
        </row>
      </sheetData>
      <sheetData sheetId="2235">
        <row r="3">
          <cell r="K3" t="str">
            <v>FOR THE MONTH ENDED JANUARY 1995</v>
          </cell>
        </row>
      </sheetData>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 xml:space="preserve">STYLE </v>
          </cell>
        </row>
      </sheetData>
      <sheetData sheetId="2255">
        <row r="2">
          <cell r="B2" t="str">
            <v xml:space="preserve">STYLE </v>
          </cell>
        </row>
      </sheetData>
      <sheetData sheetId="2256">
        <row r="2">
          <cell r="B2" t="str">
            <v xml:space="preserve">STYLE </v>
          </cell>
        </row>
      </sheetData>
      <sheetData sheetId="2257">
        <row r="2">
          <cell r="B2" t="str">
            <v>LI</v>
          </cell>
        </row>
      </sheetData>
      <sheetData sheetId="2258"/>
      <sheetData sheetId="2259">
        <row r="2">
          <cell r="B2" t="str">
            <v xml:space="preserve">STYLE </v>
          </cell>
        </row>
      </sheetData>
      <sheetData sheetId="2260">
        <row r="2">
          <cell r="B2" t="str">
            <v xml:space="preserve">STYLE </v>
          </cell>
        </row>
      </sheetData>
      <sheetData sheetId="2261">
        <row r="2">
          <cell r="B2" t="str">
            <v xml:space="preserve">STYLE </v>
          </cell>
        </row>
      </sheetData>
      <sheetData sheetId="2262">
        <row r="2">
          <cell r="B2" t="str">
            <v xml:space="preserve">STYLE </v>
          </cell>
        </row>
      </sheetData>
      <sheetData sheetId="2263"/>
      <sheetData sheetId="2264"/>
      <sheetData sheetId="2265"/>
      <sheetData sheetId="2266"/>
      <sheetData sheetId="2267"/>
      <sheetData sheetId="2268"/>
      <sheetData sheetId="2269"/>
      <sheetData sheetId="2270"/>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row r="2">
          <cell r="B2" t="str">
            <v xml:space="preserve">STYLE </v>
          </cell>
        </row>
      </sheetData>
      <sheetData sheetId="2281">
        <row r="2">
          <cell r="B2" t="str">
            <v>LI</v>
          </cell>
        </row>
      </sheetData>
      <sheetData sheetId="2282">
        <row r="2">
          <cell r="B2" t="str">
            <v xml:space="preserve">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 xml:space="preserve">STYLE </v>
          </cell>
        </row>
      </sheetData>
      <sheetData sheetId="2298">
        <row r="2">
          <cell r="B2" t="str">
            <v xml:space="preserve">STYLE </v>
          </cell>
        </row>
      </sheetData>
      <sheetData sheetId="2299">
        <row r="2">
          <cell r="B2" t="str">
            <v>LI</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row r="2">
          <cell r="B2" t="str">
            <v xml:space="preserve">STYLE </v>
          </cell>
        </row>
      </sheetData>
      <sheetData sheetId="2304">
        <row r="2">
          <cell r="B2" t="str">
            <v xml:space="preserve">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LI</v>
          </cell>
        </row>
      </sheetData>
      <sheetData sheetId="2341"/>
      <sheetData sheetId="2342">
        <row r="2">
          <cell r="B2" t="str">
            <v xml:space="preserve">STYLE </v>
          </cell>
        </row>
      </sheetData>
      <sheetData sheetId="2343">
        <row r="2">
          <cell r="B2" t="str">
            <v xml:space="preserve">STYLE </v>
          </cell>
        </row>
      </sheetData>
      <sheetData sheetId="2344">
        <row r="2">
          <cell r="B2" t="str">
            <v xml:space="preserve">STYLE </v>
          </cell>
        </row>
      </sheetData>
      <sheetData sheetId="2345">
        <row r="2">
          <cell r="B2" t="str">
            <v xml:space="preserve">STYLE </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sheetData sheetId="2351"/>
      <sheetData sheetId="2352"/>
      <sheetData sheetId="2353"/>
      <sheetData sheetId="2354"/>
      <sheetData sheetId="2355">
        <row r="2">
          <cell r="B2" t="str">
            <v xml:space="preserve">STYLE </v>
          </cell>
        </row>
      </sheetData>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row r="2">
          <cell r="B2" t="str">
            <v xml:space="preserve">STYLE </v>
          </cell>
        </row>
      </sheetData>
      <sheetData sheetId="2361">
        <row r="2">
          <cell r="B2" t="str">
            <v xml:space="preserve">STYLE </v>
          </cell>
        </row>
      </sheetData>
      <sheetData sheetId="2362">
        <row r="2">
          <cell r="B2" t="str">
            <v xml:space="preserve">STYLE </v>
          </cell>
        </row>
      </sheetData>
      <sheetData sheetId="2363">
        <row r="2">
          <cell r="B2" t="str">
            <v xml:space="preserve">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 xml:space="preserve">STYLE </v>
          </cell>
        </row>
      </sheetData>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sheetData sheetId="2381"/>
      <sheetData sheetId="2382">
        <row r="2">
          <cell r="B2" t="str">
            <v>LI</v>
          </cell>
        </row>
      </sheetData>
      <sheetData sheetId="2383"/>
      <sheetData sheetId="2384"/>
      <sheetData sheetId="2385">
        <row r="2">
          <cell r="B2" t="str">
            <v xml:space="preserve">STYLE </v>
          </cell>
        </row>
      </sheetData>
      <sheetData sheetId="2386">
        <row r="2">
          <cell r="B2" t="str">
            <v xml:space="preserve">STYLE </v>
          </cell>
        </row>
      </sheetData>
      <sheetData sheetId="2387">
        <row r="2">
          <cell r="B2" t="str">
            <v xml:space="preserve">STYLE </v>
          </cell>
        </row>
      </sheetData>
      <sheetData sheetId="2388">
        <row r="2">
          <cell r="B2" t="str">
            <v xml:space="preserve">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 xml:space="preserve">STYLE </v>
          </cell>
        </row>
      </sheetData>
      <sheetData sheetId="2404">
        <row r="2">
          <cell r="B2" t="str">
            <v xml:space="preserve">STYLE </v>
          </cell>
        </row>
      </sheetData>
      <sheetData sheetId="2405">
        <row r="2">
          <cell r="B2" t="str">
            <v xml:space="preserve">STYLE </v>
          </cell>
        </row>
      </sheetData>
      <sheetData sheetId="2406">
        <row r="2">
          <cell r="B2" t="str">
            <v xml:space="preserve">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 xml:space="preserve">STYLE </v>
          </cell>
        </row>
      </sheetData>
      <sheetData sheetId="2422">
        <row r="2">
          <cell r="B2" t="str">
            <v xml:space="preserve">STYLE </v>
          </cell>
        </row>
      </sheetData>
      <sheetData sheetId="2423">
        <row r="2">
          <cell r="B2" t="str">
            <v>LI</v>
          </cell>
        </row>
      </sheetData>
      <sheetData sheetId="2424">
        <row r="2">
          <cell r="B2" t="str">
            <v xml:space="preserve">STYLE </v>
          </cell>
        </row>
      </sheetData>
      <sheetData sheetId="2425">
        <row r="2">
          <cell r="B2" t="str">
            <v xml:space="preserve">STYLE </v>
          </cell>
        </row>
      </sheetData>
      <sheetData sheetId="2426">
        <row r="2">
          <cell r="B2" t="str">
            <v xml:space="preserve">STYLE </v>
          </cell>
        </row>
      </sheetData>
      <sheetData sheetId="2427">
        <row r="2">
          <cell r="B2" t="str">
            <v xml:space="preserve">STYLE </v>
          </cell>
        </row>
      </sheetData>
      <sheetData sheetId="2428">
        <row r="2">
          <cell r="B2" t="str">
            <v xml:space="preserve">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 xml:space="preserve">STYLE </v>
          </cell>
        </row>
      </sheetData>
      <sheetData sheetId="2444">
        <row r="2">
          <cell r="B2" t="str">
            <v xml:space="preserve">STYLE </v>
          </cell>
        </row>
      </sheetData>
      <sheetData sheetId="2445">
        <row r="2">
          <cell r="B2" t="str">
            <v xml:space="preserve">STYLE </v>
          </cell>
        </row>
      </sheetData>
      <sheetData sheetId="2446">
        <row r="2">
          <cell r="B2" t="str">
            <v xml:space="preserve">STYLE </v>
          </cell>
        </row>
      </sheetData>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row r="2">
          <cell r="B2" t="str">
            <v xml:space="preserve">STYLE </v>
          </cell>
        </row>
      </sheetData>
      <sheetData sheetId="2454">
        <row r="2">
          <cell r="B2" t="str">
            <v xml:space="preserve">STYLE </v>
          </cell>
        </row>
      </sheetData>
      <sheetData sheetId="2455">
        <row r="2">
          <cell r="B2" t="str">
            <v xml:space="preserve">STYLE </v>
          </cell>
        </row>
      </sheetData>
      <sheetData sheetId="2456">
        <row r="2">
          <cell r="B2" t="str">
            <v xml:space="preserve">STYLE </v>
          </cell>
        </row>
      </sheetData>
      <sheetData sheetId="2457">
        <row r="2">
          <cell r="B2" t="str">
            <v xml:space="preserve">STYLE </v>
          </cell>
        </row>
      </sheetData>
      <sheetData sheetId="2458"/>
      <sheetData sheetId="2459"/>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sheetData sheetId="2465"/>
      <sheetData sheetId="2466">
        <row r="3">
          <cell r="K3" t="str">
            <v>FOR THE MONTH ENDED JANUARY 1995</v>
          </cell>
        </row>
      </sheetData>
      <sheetData sheetId="2467"/>
      <sheetData sheetId="2468"/>
      <sheetData sheetId="2469">
        <row r="2">
          <cell r="B2" t="str">
            <v xml:space="preserve">STYLE </v>
          </cell>
        </row>
      </sheetData>
      <sheetData sheetId="2470">
        <row r="2">
          <cell r="B2" t="str">
            <v xml:space="preserve">STYLE </v>
          </cell>
        </row>
      </sheetData>
      <sheetData sheetId="2471">
        <row r="2">
          <cell r="B2" t="str">
            <v xml:space="preserve">STYLE </v>
          </cell>
        </row>
      </sheetData>
      <sheetData sheetId="2472">
        <row r="2">
          <cell r="B2" t="str">
            <v xml:space="preserve">STYLE </v>
          </cell>
        </row>
      </sheetData>
      <sheetData sheetId="2473">
        <row r="2">
          <cell r="B2" t="str">
            <v xml:space="preserve">STYLE </v>
          </cell>
        </row>
      </sheetData>
      <sheetData sheetId="2474">
        <row r="2">
          <cell r="B2" t="str">
            <v xml:space="preserve">STYLE </v>
          </cell>
        </row>
      </sheetData>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row r="2">
          <cell r="B2" t="str">
            <v xml:space="preserve">STYLE </v>
          </cell>
        </row>
      </sheetData>
      <sheetData sheetId="2488">
        <row r="2">
          <cell r="B2" t="str">
            <v xml:space="preserve">STYLE </v>
          </cell>
        </row>
      </sheetData>
      <sheetData sheetId="2489">
        <row r="2">
          <cell r="B2" t="str">
            <v xml:space="preserve">STYLE </v>
          </cell>
        </row>
      </sheetData>
      <sheetData sheetId="2490">
        <row r="2">
          <cell r="B2" t="str">
            <v xml:space="preserve">STYLE </v>
          </cell>
        </row>
      </sheetData>
      <sheetData sheetId="2491">
        <row r="2">
          <cell r="B2" t="str">
            <v xml:space="preserve">STYLE </v>
          </cell>
        </row>
      </sheetData>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 xml:space="preserve">STYLE </v>
          </cell>
        </row>
      </sheetData>
      <sheetData sheetId="2510">
        <row r="2">
          <cell r="B2" t="str">
            <v xml:space="preserve">STYLE </v>
          </cell>
        </row>
      </sheetData>
      <sheetData sheetId="2511">
        <row r="2">
          <cell r="B2" t="str">
            <v>LI</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LI</v>
          </cell>
        </row>
      </sheetData>
      <sheetData sheetId="2516">
        <row r="2">
          <cell r="B2" t="str">
            <v xml:space="preserve">STYLE </v>
          </cell>
        </row>
      </sheetData>
      <sheetData sheetId="2517">
        <row r="2">
          <cell r="B2" t="str">
            <v xml:space="preserve">STYLE </v>
          </cell>
        </row>
      </sheetData>
      <sheetData sheetId="2518"/>
      <sheetData sheetId="2519"/>
      <sheetData sheetId="2520"/>
      <sheetData sheetId="2521"/>
      <sheetData sheetId="2522"/>
      <sheetData sheetId="2523"/>
      <sheetData sheetId="2524"/>
      <sheetData sheetId="2525"/>
      <sheetData sheetId="2526"/>
      <sheetData sheetId="2527">
        <row r="2">
          <cell r="B2" t="str">
            <v xml:space="preserve">STYLE </v>
          </cell>
        </row>
      </sheetData>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row r="2">
          <cell r="B2" t="str">
            <v xml:space="preserve">STYLE </v>
          </cell>
        </row>
      </sheetData>
      <sheetData sheetId="2533">
        <row r="2">
          <cell r="B2" t="str">
            <v xml:space="preserve">STYLE </v>
          </cell>
        </row>
      </sheetData>
      <sheetData sheetId="2534">
        <row r="2">
          <cell r="B2" t="str">
            <v xml:space="preserve">STYLE </v>
          </cell>
        </row>
      </sheetData>
      <sheetData sheetId="2535">
        <row r="2">
          <cell r="B2" t="str">
            <v xml:space="preserve">STYLE </v>
          </cell>
        </row>
      </sheetData>
      <sheetData sheetId="2536"/>
      <sheetData sheetId="2537"/>
      <sheetData sheetId="2538"/>
      <sheetData sheetId="2539">
        <row r="2">
          <cell r="L2">
            <v>44835</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LI</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 xml:space="preserve">STYLE </v>
          </cell>
        </row>
      </sheetData>
      <sheetData sheetId="2594">
        <row r="2">
          <cell r="B2" t="str">
            <v xml:space="preserve">STYLE </v>
          </cell>
        </row>
      </sheetData>
      <sheetData sheetId="2595">
        <row r="2">
          <cell r="B2" t="str">
            <v>LI</v>
          </cell>
        </row>
      </sheetData>
      <sheetData sheetId="2596">
        <row r="2">
          <cell r="B2" t="str">
            <v xml:space="preserve">STYLE </v>
          </cell>
        </row>
      </sheetData>
      <sheetData sheetId="2597">
        <row r="2">
          <cell r="B2" t="str">
            <v xml:space="preserve">STYLE </v>
          </cell>
        </row>
      </sheetData>
      <sheetData sheetId="2598">
        <row r="2">
          <cell r="B2" t="str">
            <v xml:space="preserve">STYLE </v>
          </cell>
        </row>
      </sheetData>
      <sheetData sheetId="2599">
        <row r="2">
          <cell r="B2" t="str">
            <v xml:space="preserve">STYLE </v>
          </cell>
        </row>
      </sheetData>
      <sheetData sheetId="2600">
        <row r="2">
          <cell r="B2" t="str">
            <v xml:space="preserve">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 xml:space="preserve">STYLE </v>
          </cell>
        </row>
      </sheetData>
      <sheetData sheetId="2612">
        <row r="2">
          <cell r="B2" t="str">
            <v xml:space="preserve">STYLE </v>
          </cell>
        </row>
      </sheetData>
      <sheetData sheetId="2613">
        <row r="2">
          <cell r="B2" t="str">
            <v xml:space="preserve">STYLE </v>
          </cell>
        </row>
      </sheetData>
      <sheetData sheetId="2614">
        <row r="2">
          <cell r="B2" t="str">
            <v xml:space="preserve">STYLE </v>
          </cell>
        </row>
      </sheetData>
      <sheetData sheetId="2615">
        <row r="2">
          <cell r="B2" t="str">
            <v xml:space="preserve">STYLE </v>
          </cell>
        </row>
      </sheetData>
      <sheetData sheetId="2616">
        <row r="2">
          <cell r="B2" t="str">
            <v xml:space="preserve">STYLE </v>
          </cell>
        </row>
      </sheetData>
      <sheetData sheetId="2617">
        <row r="2">
          <cell r="B2" t="str">
            <v xml:space="preserve">STYLE </v>
          </cell>
        </row>
      </sheetData>
      <sheetData sheetId="2618">
        <row r="2">
          <cell r="B2" t="str">
            <v xml:space="preserve">STYLE </v>
          </cell>
        </row>
      </sheetData>
      <sheetData sheetId="2619"/>
      <sheetData sheetId="2620"/>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 xml:space="preserve">STYLE </v>
          </cell>
        </row>
      </sheetData>
      <sheetData sheetId="2657">
        <row r="2">
          <cell r="B2" t="str">
            <v xml:space="preserve">STYLE </v>
          </cell>
        </row>
      </sheetData>
      <sheetData sheetId="2658">
        <row r="2">
          <cell r="B2" t="str">
            <v xml:space="preserve">STYLE </v>
          </cell>
        </row>
      </sheetData>
      <sheetData sheetId="2659">
        <row r="2">
          <cell r="B2" t="str">
            <v xml:space="preserve">STYLE </v>
          </cell>
        </row>
      </sheetData>
      <sheetData sheetId="2660">
        <row r="2">
          <cell r="B2" t="str">
            <v>LI</v>
          </cell>
        </row>
      </sheetData>
      <sheetData sheetId="2661">
        <row r="2">
          <cell r="B2" t="str">
            <v xml:space="preserve">STYLE </v>
          </cell>
        </row>
      </sheetData>
      <sheetData sheetId="2662">
        <row r="2">
          <cell r="B2" t="str">
            <v>LI</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sheetData sheetId="2667"/>
      <sheetData sheetId="2668"/>
      <sheetData sheetId="2669"/>
      <sheetData sheetId="2670"/>
      <sheetData sheetId="2671"/>
      <sheetData sheetId="2672"/>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row r="2">
          <cell r="B2" t="str">
            <v xml:space="preserve">STYLE </v>
          </cell>
        </row>
      </sheetData>
      <sheetData sheetId="2677">
        <row r="2">
          <cell r="B2" t="str">
            <v xml:space="preserve">STYLE </v>
          </cell>
        </row>
      </sheetData>
      <sheetData sheetId="2678">
        <row r="2">
          <cell r="B2" t="str">
            <v xml:space="preserve">STYLE </v>
          </cell>
        </row>
      </sheetData>
      <sheetData sheetId="2679">
        <row r="2">
          <cell r="B2" t="str">
            <v xml:space="preserve">STYLE </v>
          </cell>
        </row>
      </sheetData>
      <sheetData sheetId="2680">
        <row r="2">
          <cell r="B2" t="str">
            <v xml:space="preserve">STYLE </v>
          </cell>
        </row>
      </sheetData>
      <sheetData sheetId="2681">
        <row r="2">
          <cell r="B2" t="str">
            <v xml:space="preserve">STYLE </v>
          </cell>
        </row>
      </sheetData>
      <sheetData sheetId="2682">
        <row r="2">
          <cell r="B2" t="str">
            <v xml:space="preserve">STYLE </v>
          </cell>
        </row>
      </sheetData>
      <sheetData sheetId="2683">
        <row r="2">
          <cell r="B2" t="str">
            <v xml:space="preserve">STYLE </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 xml:space="preserve">STYLE </v>
          </cell>
        </row>
      </sheetData>
      <sheetData sheetId="2698">
        <row r="2">
          <cell r="B2" t="str">
            <v xml:space="preserve">STYLE </v>
          </cell>
        </row>
      </sheetData>
      <sheetData sheetId="2699">
        <row r="2">
          <cell r="B2" t="str">
            <v xml:space="preserve">STYLE </v>
          </cell>
        </row>
      </sheetData>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 xml:space="preserve">STYLE </v>
          </cell>
        </row>
      </sheetData>
      <sheetData sheetId="2719">
        <row r="2">
          <cell r="B2" t="str">
            <v xml:space="preserve">STYLE </v>
          </cell>
        </row>
      </sheetData>
      <sheetData sheetId="2720">
        <row r="2">
          <cell r="B2" t="str">
            <v xml:space="preserve">STYLE </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 xml:space="preserve">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 xml:space="preserve">STYLE </v>
          </cell>
        </row>
      </sheetData>
      <sheetData sheetId="2737">
        <row r="2">
          <cell r="B2" t="str">
            <v xml:space="preserve">STYLE </v>
          </cell>
        </row>
      </sheetData>
      <sheetData sheetId="2738">
        <row r="2">
          <cell r="B2" t="str">
            <v xml:space="preserve">STYLE </v>
          </cell>
        </row>
      </sheetData>
      <sheetData sheetId="2739">
        <row r="2">
          <cell r="B2" t="str">
            <v xml:space="preserve">STYLE </v>
          </cell>
        </row>
      </sheetData>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row r="2">
          <cell r="B2" t="str">
            <v xml:space="preserve">STYLE </v>
          </cell>
        </row>
      </sheetData>
      <sheetData sheetId="2745">
        <row r="2">
          <cell r="B2" t="str">
            <v xml:space="preserve">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row r="2">
          <cell r="B2" t="str">
            <v xml:space="preserve">STYLE </v>
          </cell>
        </row>
      </sheetData>
      <sheetData sheetId="2761">
        <row r="2">
          <cell r="B2" t="str">
            <v xml:space="preserve">STYLE </v>
          </cell>
        </row>
      </sheetData>
      <sheetData sheetId="2762">
        <row r="2">
          <cell r="B2" t="str">
            <v xml:space="preserve">STYLE </v>
          </cell>
        </row>
      </sheetData>
      <sheetData sheetId="2763">
        <row r="2">
          <cell r="B2" t="str">
            <v>LI</v>
          </cell>
        </row>
      </sheetData>
      <sheetData sheetId="2764"/>
      <sheetData sheetId="2765"/>
      <sheetData sheetId="2766"/>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LI</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sheetData sheetId="2797"/>
      <sheetData sheetId="2798"/>
      <sheetData sheetId="2799">
        <row r="2">
          <cell r="B2" t="str">
            <v xml:space="preserve">STYLE </v>
          </cell>
        </row>
      </sheetData>
      <sheetData sheetId="2800">
        <row r="2">
          <cell r="B2" t="str">
            <v xml:space="preserve">STYLE </v>
          </cell>
        </row>
      </sheetData>
      <sheetData sheetId="2801">
        <row r="2">
          <cell r="B2" t="str">
            <v xml:space="preserve">STYLE </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 xml:space="preserve">STYLE </v>
          </cell>
        </row>
      </sheetData>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row r="2">
          <cell r="B2" t="str">
            <v>LI</v>
          </cell>
        </row>
      </sheetData>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 xml:space="preserve">STYLE </v>
          </cell>
        </row>
      </sheetData>
      <sheetData sheetId="2847">
        <row r="2">
          <cell r="B2" t="str">
            <v xml:space="preserve">STYLE </v>
          </cell>
        </row>
      </sheetData>
      <sheetData sheetId="2848">
        <row r="2">
          <cell r="B2" t="str">
            <v xml:space="preserve">STYLE </v>
          </cell>
        </row>
      </sheetData>
      <sheetData sheetId="2849">
        <row r="2">
          <cell r="B2" t="str">
            <v xml:space="preserve">STYLE </v>
          </cell>
        </row>
      </sheetData>
      <sheetData sheetId="2850"/>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 xml:space="preserve">STYLE </v>
          </cell>
        </row>
      </sheetData>
      <sheetData sheetId="2865">
        <row r="2">
          <cell r="B2" t="str">
            <v xml:space="preserve">STYLE </v>
          </cell>
        </row>
      </sheetData>
      <sheetData sheetId="2866">
        <row r="2">
          <cell r="B2" t="str">
            <v>LI</v>
          </cell>
        </row>
      </sheetData>
      <sheetData sheetId="2867">
        <row r="2">
          <cell r="B2" t="str">
            <v xml:space="preserve">STYLE </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sheetData sheetId="2873"/>
      <sheetData sheetId="2874"/>
      <sheetData sheetId="2875"/>
      <sheetData sheetId="2876"/>
      <sheetData sheetId="2877"/>
      <sheetData sheetId="2878"/>
      <sheetData sheetId="2879"/>
      <sheetData sheetId="2880"/>
      <sheetData sheetId="2881">
        <row r="2">
          <cell r="B2" t="str">
            <v xml:space="preserve">STYLE </v>
          </cell>
        </row>
      </sheetData>
      <sheetData sheetId="2882">
        <row r="2">
          <cell r="B2" t="str">
            <v xml:space="preserve">STYLE </v>
          </cell>
        </row>
      </sheetData>
      <sheetData sheetId="2883">
        <row r="2">
          <cell r="B2" t="str">
            <v xml:space="preserve">STYLE </v>
          </cell>
        </row>
      </sheetData>
      <sheetData sheetId="2884">
        <row r="2">
          <cell r="B2" t="str">
            <v xml:space="preserve">STYLE </v>
          </cell>
        </row>
      </sheetData>
      <sheetData sheetId="2885">
        <row r="2">
          <cell r="B2" t="str">
            <v xml:space="preserve">STYLE </v>
          </cell>
        </row>
      </sheetData>
      <sheetData sheetId="2886">
        <row r="2">
          <cell r="B2" t="str">
            <v xml:space="preserve">STYLE </v>
          </cell>
        </row>
      </sheetData>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 xml:space="preserve">STYLE </v>
          </cell>
        </row>
      </sheetData>
      <sheetData sheetId="2892"/>
      <sheetData sheetId="2893"/>
      <sheetData sheetId="2894"/>
      <sheetData sheetId="2895"/>
      <sheetData sheetId="2896"/>
      <sheetData sheetId="2897"/>
      <sheetData sheetId="2898"/>
      <sheetData sheetId="2899">
        <row r="2">
          <cell r="B2" t="str">
            <v xml:space="preserve">STYLE </v>
          </cell>
        </row>
      </sheetData>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 xml:space="preserve">STYLE </v>
          </cell>
        </row>
      </sheetData>
      <sheetData sheetId="2913">
        <row r="2">
          <cell r="B2" t="str">
            <v xml:space="preserve">STYLE </v>
          </cell>
        </row>
      </sheetData>
      <sheetData sheetId="2914">
        <row r="2">
          <cell r="B2" t="str">
            <v xml:space="preserve">STYLE </v>
          </cell>
        </row>
      </sheetData>
      <sheetData sheetId="2915">
        <row r="2">
          <cell r="B2" t="str">
            <v xml:space="preserve">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 xml:space="preserve">STYLE </v>
          </cell>
        </row>
      </sheetData>
      <sheetData sheetId="2931">
        <row r="2">
          <cell r="B2" t="str">
            <v xml:space="preserve">STYLE </v>
          </cell>
        </row>
      </sheetData>
      <sheetData sheetId="2932">
        <row r="2">
          <cell r="B2" t="str">
            <v xml:space="preserve">STYLE </v>
          </cell>
        </row>
      </sheetData>
      <sheetData sheetId="2933">
        <row r="2">
          <cell r="B2" t="str">
            <v xml:space="preserve">STYLE </v>
          </cell>
        </row>
      </sheetData>
      <sheetData sheetId="2934">
        <row r="2">
          <cell r="B2" t="str">
            <v xml:space="preserve">STYLE </v>
          </cell>
        </row>
      </sheetData>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 xml:space="preserve">STYLE </v>
          </cell>
        </row>
      </sheetData>
      <sheetData sheetId="2949">
        <row r="2">
          <cell r="B2" t="str">
            <v>LI</v>
          </cell>
        </row>
      </sheetData>
      <sheetData sheetId="2950">
        <row r="2">
          <cell r="B2" t="str">
            <v xml:space="preserve">STYLE </v>
          </cell>
        </row>
      </sheetData>
      <sheetData sheetId="2951">
        <row r="2">
          <cell r="B2" t="str">
            <v xml:space="preserve">STYLE </v>
          </cell>
        </row>
      </sheetData>
      <sheetData sheetId="2952">
        <row r="2">
          <cell r="B2" t="str">
            <v xml:space="preserve">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 xml:space="preserve">STYLE </v>
          </cell>
        </row>
      </sheetData>
      <sheetData sheetId="2992">
        <row r="2">
          <cell r="B2" t="str">
            <v xml:space="preserve">STYLE </v>
          </cell>
        </row>
      </sheetData>
      <sheetData sheetId="2993">
        <row r="2">
          <cell r="B2" t="str">
            <v xml:space="preserve">STYLE </v>
          </cell>
        </row>
      </sheetData>
      <sheetData sheetId="2994">
        <row r="2">
          <cell r="B2" t="str">
            <v xml:space="preserve">STYLE </v>
          </cell>
        </row>
      </sheetData>
      <sheetData sheetId="2995">
        <row r="2">
          <cell r="B2" t="str">
            <v xml:space="preserve">STYLE </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sheetData sheetId="3001"/>
      <sheetData sheetId="3002"/>
      <sheetData sheetId="3003"/>
      <sheetData sheetId="3004"/>
      <sheetData sheetId="3005"/>
      <sheetData sheetId="3006"/>
      <sheetData sheetId="3007"/>
      <sheetData sheetId="3008"/>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 xml:space="preserve">STYLE </v>
          </cell>
        </row>
      </sheetData>
      <sheetData sheetId="3016">
        <row r="2">
          <cell r="B2" t="str">
            <v xml:space="preserve">STYLE </v>
          </cell>
        </row>
      </sheetData>
      <sheetData sheetId="3017">
        <row r="2">
          <cell r="B2" t="str">
            <v xml:space="preserve">STYLE </v>
          </cell>
        </row>
      </sheetData>
      <sheetData sheetId="3018">
        <row r="2">
          <cell r="B2" t="str">
            <v xml:space="preserve">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 xml:space="preserve">STYLE </v>
          </cell>
        </row>
      </sheetData>
      <sheetData sheetId="3034">
        <row r="2">
          <cell r="B2" t="str">
            <v xml:space="preserve">STYLE </v>
          </cell>
        </row>
      </sheetData>
      <sheetData sheetId="3035">
        <row r="2">
          <cell r="B2" t="str">
            <v xml:space="preserve">STYLE </v>
          </cell>
        </row>
      </sheetData>
      <sheetData sheetId="3036">
        <row r="2">
          <cell r="B2" t="str">
            <v xml:space="preserve">STYLE </v>
          </cell>
        </row>
      </sheetData>
      <sheetData sheetId="3037">
        <row r="2">
          <cell r="B2" t="str">
            <v xml:space="preserve">STYLE </v>
          </cell>
        </row>
      </sheetData>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 xml:space="preserve">STYLE </v>
          </cell>
        </row>
      </sheetData>
      <sheetData sheetId="3055">
        <row r="2">
          <cell r="B2" t="str">
            <v xml:space="preserve">STYLE </v>
          </cell>
        </row>
      </sheetData>
      <sheetData sheetId="3056">
        <row r="2">
          <cell r="B2" t="str">
            <v xml:space="preserve">STYLE </v>
          </cell>
        </row>
      </sheetData>
      <sheetData sheetId="3057">
        <row r="2">
          <cell r="B2" t="str">
            <v xml:space="preserve">STYLE </v>
          </cell>
        </row>
      </sheetData>
      <sheetData sheetId="3058">
        <row r="2">
          <cell r="B2" t="str">
            <v xml:space="preserve">STYLE </v>
          </cell>
        </row>
      </sheetData>
      <sheetData sheetId="3059">
        <row r="2">
          <cell r="B2" t="str">
            <v xml:space="preserve">STYLE </v>
          </cell>
        </row>
      </sheetData>
      <sheetData sheetId="3060">
        <row r="2">
          <cell r="B2" t="str">
            <v xml:space="preserve">STYLE </v>
          </cell>
        </row>
      </sheetData>
      <sheetData sheetId="3061">
        <row r="2">
          <cell r="B2" t="str">
            <v xml:space="preserve">STYLE </v>
          </cell>
        </row>
      </sheetData>
      <sheetData sheetId="3062">
        <row r="2">
          <cell r="B2" t="str">
            <v xml:space="preserve">STYLE </v>
          </cell>
        </row>
      </sheetData>
      <sheetData sheetId="3063">
        <row r="2">
          <cell r="B2" t="str">
            <v xml:space="preserve">STYLE </v>
          </cell>
        </row>
      </sheetData>
      <sheetData sheetId="3064"/>
      <sheetData sheetId="3065"/>
      <sheetData sheetId="3066"/>
      <sheetData sheetId="3067"/>
      <sheetData sheetId="3068"/>
      <sheetData sheetId="3069"/>
      <sheetData sheetId="3070"/>
      <sheetData sheetId="3071"/>
      <sheetData sheetId="3072"/>
      <sheetData sheetId="3073"/>
      <sheetData sheetId="3074">
        <row r="2">
          <cell r="B2" t="str">
            <v xml:space="preserve">STYLE </v>
          </cell>
        </row>
      </sheetData>
      <sheetData sheetId="3075">
        <row r="2">
          <cell r="B2" t="str">
            <v xml:space="preserve">STYLE </v>
          </cell>
        </row>
      </sheetData>
      <sheetData sheetId="3076">
        <row r="2">
          <cell r="B2" t="str">
            <v xml:space="preserve">STYLE </v>
          </cell>
        </row>
      </sheetData>
      <sheetData sheetId="3077">
        <row r="2">
          <cell r="B2" t="str">
            <v xml:space="preserve">STYLE </v>
          </cell>
        </row>
      </sheetData>
      <sheetData sheetId="3078">
        <row r="2">
          <cell r="B2" t="str">
            <v>LI</v>
          </cell>
        </row>
      </sheetData>
      <sheetData sheetId="3079">
        <row r="2">
          <cell r="B2" t="str">
            <v xml:space="preserve">STYLE </v>
          </cell>
        </row>
      </sheetData>
      <sheetData sheetId="3080">
        <row r="2">
          <cell r="B2" t="str">
            <v>LI</v>
          </cell>
        </row>
      </sheetData>
      <sheetData sheetId="3081"/>
      <sheetData sheetId="3082"/>
      <sheetData sheetId="3083"/>
      <sheetData sheetId="3084"/>
      <sheetData sheetId="3085">
        <row r="2">
          <cell r="B2" t="str">
            <v xml:space="preserve">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 xml:space="preserve">STYLE </v>
          </cell>
        </row>
      </sheetData>
      <sheetData sheetId="3095">
        <row r="3">
          <cell r="K3" t="str">
            <v>FOR THE MONTH ENDED JANUARY 1995</v>
          </cell>
        </row>
      </sheetData>
      <sheetData sheetId="3096">
        <row r="2">
          <cell r="B2" t="str">
            <v>LI</v>
          </cell>
        </row>
      </sheetData>
      <sheetData sheetId="3097">
        <row r="2">
          <cell r="B2" t="str">
            <v xml:space="preserve">STYLE </v>
          </cell>
        </row>
      </sheetData>
      <sheetData sheetId="3098">
        <row r="2">
          <cell r="B2" t="str">
            <v xml:space="preserve">STYLE </v>
          </cell>
        </row>
      </sheetData>
      <sheetData sheetId="3099">
        <row r="2">
          <cell r="B2" t="str">
            <v>LI</v>
          </cell>
        </row>
      </sheetData>
      <sheetData sheetId="3100">
        <row r="2">
          <cell r="B2" t="str">
            <v>LI</v>
          </cell>
        </row>
      </sheetData>
      <sheetData sheetId="3101"/>
      <sheetData sheetId="3102">
        <row r="2">
          <cell r="B2" t="str">
            <v xml:space="preserve">STYLE </v>
          </cell>
        </row>
      </sheetData>
      <sheetData sheetId="3103">
        <row r="2">
          <cell r="B2" t="str">
            <v xml:space="preserve">STYLE </v>
          </cell>
        </row>
      </sheetData>
      <sheetData sheetId="3104">
        <row r="2">
          <cell r="B2" t="str">
            <v xml:space="preserve">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 xml:space="preserve">STYLE </v>
          </cell>
        </row>
      </sheetData>
      <sheetData sheetId="3113"/>
      <sheetData sheetId="3114"/>
      <sheetData sheetId="3115">
        <row r="3">
          <cell r="K3" t="str">
            <v>FOR THE MONTH ENDED JANUARY 1995</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 xml:space="preserve">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sheetData sheetId="3129"/>
      <sheetData sheetId="3130"/>
      <sheetData sheetId="3131"/>
      <sheetData sheetId="3132"/>
      <sheetData sheetId="3133"/>
      <sheetData sheetId="3134"/>
      <sheetData sheetId="3135"/>
      <sheetData sheetId="3136">
        <row r="2">
          <cell r="B2" t="str">
            <v xml:space="preserve">STYLE </v>
          </cell>
        </row>
      </sheetData>
      <sheetData sheetId="3137">
        <row r="3">
          <cell r="K3" t="str">
            <v>FOR THE MONTH ENDED JANUARY 1995</v>
          </cell>
        </row>
      </sheetData>
      <sheetData sheetId="3138">
        <row r="2">
          <cell r="B2" t="str">
            <v xml:space="preserve">STYLE </v>
          </cell>
        </row>
      </sheetData>
      <sheetData sheetId="3139">
        <row r="2">
          <cell r="B2" t="str">
            <v>LI</v>
          </cell>
        </row>
      </sheetData>
      <sheetData sheetId="3140">
        <row r="2">
          <cell r="B2" t="str">
            <v xml:space="preserve">STYLE </v>
          </cell>
        </row>
      </sheetData>
      <sheetData sheetId="3141"/>
      <sheetData sheetId="3142">
        <row r="2">
          <cell r="B2" t="str">
            <v xml:space="preserve">STYLE </v>
          </cell>
        </row>
      </sheetData>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 xml:space="preserve">STYLE </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 xml:space="preserve">STYLE </v>
          </cell>
        </row>
      </sheetData>
      <sheetData sheetId="3189">
        <row r="2">
          <cell r="B2" t="str">
            <v xml:space="preserve">STYLE </v>
          </cell>
        </row>
      </sheetData>
      <sheetData sheetId="3190">
        <row r="2">
          <cell r="B2" t="str">
            <v xml:space="preserve">STYLE </v>
          </cell>
        </row>
      </sheetData>
      <sheetData sheetId="3191">
        <row r="2">
          <cell r="B2" t="str">
            <v xml:space="preserve">STYLE </v>
          </cell>
        </row>
      </sheetData>
      <sheetData sheetId="3192"/>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sheetData sheetId="3198"/>
      <sheetData sheetId="3199"/>
      <sheetData sheetId="3200"/>
      <sheetData sheetId="3201"/>
      <sheetData sheetId="3202"/>
      <sheetData sheetId="3203"/>
      <sheetData sheetId="3204"/>
      <sheetData sheetId="3205">
        <row r="2">
          <cell r="B2" t="str">
            <v xml:space="preserve">STYLE </v>
          </cell>
        </row>
      </sheetData>
      <sheetData sheetId="3206">
        <row r="2">
          <cell r="B2" t="str">
            <v xml:space="preserve">STYLE </v>
          </cell>
        </row>
      </sheetData>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row r="2">
          <cell r="B2" t="str">
            <v xml:space="preserve">STYLE </v>
          </cell>
        </row>
      </sheetData>
      <sheetData sheetId="3218">
        <row r="2">
          <cell r="B2" t="str">
            <v xml:space="preserve">STYLE </v>
          </cell>
        </row>
      </sheetData>
      <sheetData sheetId="3219">
        <row r="2">
          <cell r="B2" t="str">
            <v xml:space="preserve">STYLE </v>
          </cell>
        </row>
      </sheetData>
      <sheetData sheetId="3220"/>
      <sheetData sheetId="3221"/>
      <sheetData sheetId="3222"/>
      <sheetData sheetId="3223"/>
      <sheetData sheetId="3224"/>
      <sheetData sheetId="3225"/>
      <sheetData sheetId="3226"/>
      <sheetData sheetId="3227"/>
      <sheetData sheetId="3228">
        <row r="2">
          <cell r="B2" t="str">
            <v xml:space="preserve">STYLE </v>
          </cell>
        </row>
      </sheetData>
      <sheetData sheetId="3229">
        <row r="2">
          <cell r="B2" t="str">
            <v xml:space="preserve">STYLE </v>
          </cell>
        </row>
      </sheetData>
      <sheetData sheetId="3230">
        <row r="2">
          <cell r="B2" t="str">
            <v xml:space="preserve">STYLE </v>
          </cell>
        </row>
      </sheetData>
      <sheetData sheetId="3231">
        <row r="2">
          <cell r="B2" t="str">
            <v xml:space="preserve">STYLE </v>
          </cell>
        </row>
      </sheetData>
      <sheetData sheetId="3232">
        <row r="2">
          <cell r="B2" t="str">
            <v xml:space="preserve">STYLE </v>
          </cell>
        </row>
      </sheetData>
      <sheetData sheetId="3233">
        <row r="2">
          <cell r="B2" t="str">
            <v xml:space="preserve">STYLE </v>
          </cell>
        </row>
      </sheetData>
      <sheetData sheetId="3234">
        <row r="2">
          <cell r="B2" t="str">
            <v xml:space="preserve">STYLE </v>
          </cell>
        </row>
      </sheetData>
      <sheetData sheetId="3235">
        <row r="2">
          <cell r="B2" t="str">
            <v xml:space="preserve">STYLE </v>
          </cell>
        </row>
      </sheetData>
      <sheetData sheetId="3236">
        <row r="2">
          <cell r="B2" t="str">
            <v xml:space="preserve">STYLE </v>
          </cell>
        </row>
      </sheetData>
      <sheetData sheetId="3237">
        <row r="2">
          <cell r="B2" t="str">
            <v xml:space="preserve">STYLE </v>
          </cell>
        </row>
      </sheetData>
      <sheetData sheetId="3238">
        <row r="2">
          <cell r="B2" t="str">
            <v xml:space="preserve">STYLE </v>
          </cell>
        </row>
      </sheetData>
      <sheetData sheetId="3239">
        <row r="2">
          <cell r="B2" t="str">
            <v xml:space="preserve">STYLE </v>
          </cell>
        </row>
      </sheetData>
      <sheetData sheetId="3240">
        <row r="2">
          <cell r="B2" t="str">
            <v xml:space="preserve">STYLE </v>
          </cell>
        </row>
      </sheetData>
      <sheetData sheetId="3241">
        <row r="2">
          <cell r="B2" t="str">
            <v xml:space="preserve">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sheetData sheetId="3308"/>
      <sheetData sheetId="3309"/>
      <sheetData sheetId="3310"/>
      <sheetData sheetId="3311" refreshError="1"/>
      <sheetData sheetId="3312" refreshError="1"/>
      <sheetData sheetId="3313"/>
      <sheetData sheetId="3314"/>
      <sheetData sheetId="3315"/>
      <sheetData sheetId="3316"/>
      <sheetData sheetId="3317"/>
      <sheetData sheetId="3318">
        <row r="2">
          <cell r="L2">
            <v>44835</v>
          </cell>
        </row>
      </sheetData>
      <sheetData sheetId="3319"/>
      <sheetData sheetId="3320"/>
      <sheetData sheetId="3321"/>
      <sheetData sheetId="3322"/>
      <sheetData sheetId="3323">
        <row r="2">
          <cell r="B2" t="str">
            <v xml:space="preserve">STYLE </v>
          </cell>
        </row>
      </sheetData>
      <sheetData sheetId="3324">
        <row r="2">
          <cell r="B2" t="str">
            <v xml:space="preserve">STYLE </v>
          </cell>
        </row>
      </sheetData>
      <sheetData sheetId="3325">
        <row r="2">
          <cell r="B2" t="str">
            <v xml:space="preserve">STYLE </v>
          </cell>
        </row>
      </sheetData>
      <sheetData sheetId="3326">
        <row r="2">
          <cell r="B2" t="str">
            <v xml:space="preserve">STYLE </v>
          </cell>
        </row>
      </sheetData>
      <sheetData sheetId="3327"/>
      <sheetData sheetId="3328"/>
      <sheetData sheetId="3329">
        <row r="2">
          <cell r="L2">
            <v>44835</v>
          </cell>
        </row>
      </sheetData>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row r="3">
          <cell r="K3" t="str">
            <v>FOR THE MONTH ENDED JANUARY 1995</v>
          </cell>
        </row>
      </sheetData>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row r="2">
          <cell r="B2" t="str">
            <v>LI</v>
          </cell>
        </row>
      </sheetData>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row r="2">
          <cell r="L2">
            <v>44835</v>
          </cell>
        </row>
      </sheetData>
      <sheetData sheetId="3411"/>
      <sheetData sheetId="3412"/>
      <sheetData sheetId="3413"/>
      <sheetData sheetId="3414"/>
      <sheetData sheetId="3415"/>
      <sheetData sheetId="3416"/>
      <sheetData sheetId="3417"/>
      <sheetData sheetId="3418"/>
      <sheetData sheetId="3419"/>
      <sheetData sheetId="3420"/>
      <sheetData sheetId="3421"/>
      <sheetData sheetId="3422">
        <row r="2">
          <cell r="B2" t="str">
            <v xml:space="preserve">STYLE </v>
          </cell>
        </row>
      </sheetData>
      <sheetData sheetId="3423">
        <row r="2">
          <cell r="B2" t="str">
            <v xml:space="preserve">STYLE </v>
          </cell>
        </row>
      </sheetData>
      <sheetData sheetId="3424">
        <row r="2">
          <cell r="B2" t="str">
            <v xml:space="preserve">STYLE </v>
          </cell>
        </row>
      </sheetData>
      <sheetData sheetId="3425">
        <row r="2">
          <cell r="B2" t="str">
            <v xml:space="preserve">STYLE </v>
          </cell>
        </row>
      </sheetData>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row r="3">
          <cell r="K3" t="str">
            <v>FOR THE MONTH ENDED JANUARY 1995</v>
          </cell>
        </row>
      </sheetData>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row r="2">
          <cell r="B2" t="str">
            <v>LI</v>
          </cell>
        </row>
      </sheetData>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refreshError="1"/>
      <sheetData sheetId="3516" refreshError="1"/>
      <sheetData sheetId="3517" refreshError="1"/>
      <sheetData sheetId="3518" refreshError="1"/>
      <sheetData sheetId="35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xml:space="preserve">      35002160  Shared Service</v>
          </cell>
          <cell r="C65">
            <v>182151.32</v>
          </cell>
          <cell r="D65">
            <v>182060.81</v>
          </cell>
          <cell r="E65">
            <v>180786.1</v>
          </cell>
        </row>
        <row r="66">
          <cell r="A66">
            <v>35002450</v>
          </cell>
          <cell r="B66" t="str">
            <v xml:space="preserve">      35002450  Audit Fees</v>
          </cell>
          <cell r="C66">
            <v>0</v>
          </cell>
          <cell r="D66">
            <v>0</v>
          </cell>
          <cell r="E66">
            <v>45702</v>
          </cell>
        </row>
        <row r="67">
          <cell r="A67">
            <v>35002500</v>
          </cell>
          <cell r="B67" t="str">
            <v xml:space="preserve">      35002500  Consultancy Fe</v>
          </cell>
          <cell r="C67">
            <v>0</v>
          </cell>
          <cell r="D67">
            <v>88000</v>
          </cell>
          <cell r="E67">
            <v>44336</v>
          </cell>
        </row>
        <row r="68">
          <cell r="A68">
            <v>35002950</v>
          </cell>
          <cell r="B68" t="str">
            <v xml:space="preserve">      35002950  Binding Charge</v>
          </cell>
          <cell r="C68">
            <v>1935</v>
          </cell>
          <cell r="D68">
            <v>0</v>
          </cell>
          <cell r="E68">
            <v>0</v>
          </cell>
        </row>
        <row r="69">
          <cell r="A69">
            <v>35004100</v>
          </cell>
          <cell r="B69" t="str">
            <v xml:space="preserve">      35004100  Software Expen</v>
          </cell>
          <cell r="C69">
            <v>22000</v>
          </cell>
          <cell r="D69">
            <v>-179000</v>
          </cell>
          <cell r="E69">
            <v>20039</v>
          </cell>
        </row>
        <row r="70">
          <cell r="A70">
            <v>35004150</v>
          </cell>
          <cell r="B70" t="str">
            <v xml:space="preserve">      35004150  Computer Stat</v>
          </cell>
          <cell r="C70">
            <v>106123.86</v>
          </cell>
          <cell r="D70">
            <v>107556</v>
          </cell>
          <cell r="E70">
            <v>107450</v>
          </cell>
        </row>
        <row r="71">
          <cell r="A71">
            <v>35004200</v>
          </cell>
          <cell r="B71" t="str">
            <v xml:space="preserve">      35004200  Courier Charge</v>
          </cell>
          <cell r="C71">
            <v>0</v>
          </cell>
          <cell r="D71">
            <v>138</v>
          </cell>
          <cell r="E71">
            <v>0</v>
          </cell>
        </row>
        <row r="72">
          <cell r="A72">
            <v>35004600</v>
          </cell>
          <cell r="B72" t="str">
            <v xml:space="preserve">      35004600  Depre-M Veh-Fr</v>
          </cell>
          <cell r="C72">
            <v>100799.94</v>
          </cell>
          <cell r="D72">
            <v>100799.93</v>
          </cell>
          <cell r="E72">
            <v>100799.95</v>
          </cell>
        </row>
        <row r="73">
          <cell r="A73">
            <v>35004750</v>
          </cell>
          <cell r="B73" t="str">
            <v xml:space="preserve">      35004750  Depr-Furn Fixt</v>
          </cell>
          <cell r="C73">
            <v>24714.65</v>
          </cell>
          <cell r="D73">
            <v>24714.57</v>
          </cell>
          <cell r="E73">
            <v>24714.65</v>
          </cell>
        </row>
        <row r="74">
          <cell r="A74">
            <v>35004800</v>
          </cell>
          <cell r="B74" t="str">
            <v xml:space="preserve">      35004800  Dep-Com H/W-Fr</v>
          </cell>
          <cell r="C74">
            <v>29804.54</v>
          </cell>
          <cell r="D74">
            <v>29734.58</v>
          </cell>
          <cell r="E74">
            <v>29734.53</v>
          </cell>
        </row>
        <row r="75">
          <cell r="A75">
            <v>35004900</v>
          </cell>
          <cell r="B75" t="str">
            <v xml:space="preserve">      35004900  Depre - Comput</v>
          </cell>
          <cell r="C75">
            <v>77403.41</v>
          </cell>
          <cell r="D75">
            <v>77403.41</v>
          </cell>
          <cell r="E75">
            <v>77403.42</v>
          </cell>
        </row>
        <row r="76">
          <cell r="A76">
            <v>35004950</v>
          </cell>
          <cell r="B76" t="str">
            <v xml:space="preserve">      35004950  Depre - Office</v>
          </cell>
          <cell r="C76">
            <v>73373.23</v>
          </cell>
          <cell r="D76">
            <v>73372.94</v>
          </cell>
          <cell r="E76">
            <v>73373</v>
          </cell>
        </row>
        <row r="77">
          <cell r="A77">
            <v>35005200</v>
          </cell>
          <cell r="B77" t="str">
            <v xml:space="preserve">      35005200  Depre - Air Co</v>
          </cell>
          <cell r="C77">
            <v>2763.91</v>
          </cell>
          <cell r="D77">
            <v>2763.91</v>
          </cell>
          <cell r="E77">
            <v>2763.91</v>
          </cell>
        </row>
        <row r="78">
          <cell r="A78">
            <v>35005650</v>
          </cell>
          <cell r="B78" t="str">
            <v xml:space="preserve">      35005650  Electricity</v>
          </cell>
          <cell r="C78">
            <v>182775.74</v>
          </cell>
          <cell r="D78">
            <v>291166.64</v>
          </cell>
          <cell r="E78">
            <v>219728.03</v>
          </cell>
        </row>
        <row r="79">
          <cell r="A79">
            <v>35005750</v>
          </cell>
          <cell r="B79" t="str">
            <v xml:space="preserve">      35005750  Equip Maint-Ai</v>
          </cell>
          <cell r="C79">
            <v>3400</v>
          </cell>
          <cell r="D79">
            <v>2000</v>
          </cell>
          <cell r="E79">
            <v>3250</v>
          </cell>
        </row>
        <row r="80">
          <cell r="A80">
            <v>35005800</v>
          </cell>
          <cell r="B80" t="str">
            <v xml:space="preserve">      35005800  Equip Maint-Co</v>
          </cell>
          <cell r="C80">
            <v>22000</v>
          </cell>
          <cell r="D80">
            <v>-188000</v>
          </cell>
          <cell r="E80">
            <v>31737</v>
          </cell>
        </row>
        <row r="81">
          <cell r="A81">
            <v>35005850</v>
          </cell>
          <cell r="B81" t="str">
            <v xml:space="preserve">      35005850  Equip Maint-Fa</v>
          </cell>
          <cell r="C81">
            <v>2000</v>
          </cell>
          <cell r="D81">
            <v>-10541.67</v>
          </cell>
          <cell r="E81">
            <v>458.33</v>
          </cell>
        </row>
        <row r="82">
          <cell r="A82">
            <v>35006000</v>
          </cell>
          <cell r="B82" t="str">
            <v xml:space="preserve">      35006000  Equip Maint -</v>
          </cell>
          <cell r="C82">
            <v>0</v>
          </cell>
          <cell r="D82">
            <v>26000</v>
          </cell>
          <cell r="E82">
            <v>11614</v>
          </cell>
        </row>
        <row r="83">
          <cell r="A83">
            <v>35006050</v>
          </cell>
          <cell r="B83" t="str">
            <v xml:space="preserve">      35006050  Equip Maint-Ph</v>
          </cell>
          <cell r="C83">
            <v>9185.24</v>
          </cell>
          <cell r="D83">
            <v>10052.02</v>
          </cell>
          <cell r="E83">
            <v>11000</v>
          </cell>
        </row>
        <row r="84">
          <cell r="A84">
            <v>35006150</v>
          </cell>
          <cell r="B84" t="str">
            <v xml:space="preserve">      35006150  Equip Maint -</v>
          </cell>
          <cell r="C84">
            <v>19324.439999999999</v>
          </cell>
          <cell r="D84">
            <v>24845.95</v>
          </cell>
          <cell r="E84">
            <v>26249.66</v>
          </cell>
        </row>
        <row r="85">
          <cell r="A85">
            <v>35007150</v>
          </cell>
          <cell r="B85" t="str">
            <v xml:space="preserve">      35007150  Generator expe</v>
          </cell>
          <cell r="C85">
            <v>0</v>
          </cell>
          <cell r="D85">
            <v>10000</v>
          </cell>
          <cell r="E85">
            <v>4049</v>
          </cell>
        </row>
        <row r="86">
          <cell r="A86">
            <v>35007200</v>
          </cell>
          <cell r="B86" t="str">
            <v xml:space="preserve">      35007200  Grp Service Ex</v>
          </cell>
          <cell r="C86">
            <v>100755.56</v>
          </cell>
          <cell r="D86">
            <v>79743.210000000006</v>
          </cell>
          <cell r="E86">
            <v>77469.5</v>
          </cell>
        </row>
        <row r="87">
          <cell r="A87">
            <v>35007300</v>
          </cell>
          <cell r="B87" t="str">
            <v xml:space="preserve">      35007300  Grp Service Ex</v>
          </cell>
          <cell r="C87">
            <v>4520</v>
          </cell>
          <cell r="D87">
            <v>142311.19</v>
          </cell>
          <cell r="E87">
            <v>85327.82</v>
          </cell>
        </row>
        <row r="88">
          <cell r="A88">
            <v>35007400</v>
          </cell>
          <cell r="B88" t="str">
            <v xml:space="preserve">      35007400  Grp Ser Exp-Se</v>
          </cell>
          <cell r="C88">
            <v>0</v>
          </cell>
          <cell r="D88">
            <v>0</v>
          </cell>
          <cell r="E88">
            <v>0</v>
          </cell>
        </row>
        <row r="89">
          <cell r="A89">
            <v>35007500</v>
          </cell>
          <cell r="B89" t="str">
            <v xml:space="preserve">      35007500  Insurance All</v>
          </cell>
          <cell r="C89">
            <v>0</v>
          </cell>
          <cell r="D89">
            <v>0</v>
          </cell>
          <cell r="E89">
            <v>0</v>
          </cell>
        </row>
        <row r="90">
          <cell r="A90">
            <v>35007550</v>
          </cell>
          <cell r="B90" t="str">
            <v xml:space="preserve">      35007550  Insurance -Computers</v>
          </cell>
          <cell r="C90">
            <v>0</v>
          </cell>
          <cell r="D90">
            <v>0</v>
          </cell>
          <cell r="E90">
            <v>1266.6500000000001</v>
          </cell>
        </row>
        <row r="91">
          <cell r="A91">
            <v>35007700</v>
          </cell>
          <cell r="B91" t="str">
            <v xml:space="preserve">      35007700  Insurance MV</v>
          </cell>
          <cell r="C91">
            <v>0</v>
          </cell>
          <cell r="D91">
            <v>0</v>
          </cell>
          <cell r="E91">
            <v>0</v>
          </cell>
        </row>
        <row r="92">
          <cell r="A92">
            <v>35007750</v>
          </cell>
          <cell r="B92" t="str">
            <v xml:space="preserve">      35007750  Insurance - Others</v>
          </cell>
          <cell r="C92">
            <v>0</v>
          </cell>
          <cell r="D92">
            <v>0</v>
          </cell>
          <cell r="E92">
            <v>3920.86</v>
          </cell>
        </row>
        <row r="93">
          <cell r="A93">
            <v>35007800</v>
          </cell>
          <cell r="B93" t="str">
            <v xml:space="preserve">      35007800  Insu - Per Accident</v>
          </cell>
          <cell r="E93">
            <v>4315</v>
          </cell>
        </row>
        <row r="94">
          <cell r="A94">
            <v>35007850</v>
          </cell>
          <cell r="B94" t="str">
            <v xml:space="preserve">      35007850  Insu - Public</v>
          </cell>
          <cell r="C94">
            <v>0</v>
          </cell>
          <cell r="D94">
            <v>2389.56</v>
          </cell>
          <cell r="E94">
            <v>0</v>
          </cell>
        </row>
        <row r="95">
          <cell r="A95">
            <v>35007900</v>
          </cell>
          <cell r="B95" t="str">
            <v xml:space="preserve">      35007900  Insurance Surgical</v>
          </cell>
          <cell r="C95">
            <v>99903.96</v>
          </cell>
          <cell r="D95">
            <v>105817.53</v>
          </cell>
          <cell r="E95">
            <v>0</v>
          </cell>
        </row>
        <row r="96">
          <cell r="A96">
            <v>35007950</v>
          </cell>
          <cell r="B96" t="str">
            <v xml:space="preserve">      35007950 Insu-Workmen's</v>
          </cell>
          <cell r="E96">
            <v>1252.93</v>
          </cell>
        </row>
        <row r="97">
          <cell r="A97">
            <v>35008050</v>
          </cell>
          <cell r="B97" t="str">
            <v xml:space="preserve">      35008050  Insu-Cash in T</v>
          </cell>
          <cell r="C97">
            <v>0</v>
          </cell>
          <cell r="D97">
            <v>0</v>
          </cell>
          <cell r="E97">
            <v>4857.0200000000004</v>
          </cell>
        </row>
        <row r="98">
          <cell r="A98">
            <v>35008150</v>
          </cell>
          <cell r="B98" t="str">
            <v xml:space="preserve">      35008150  Insu-Electroni</v>
          </cell>
          <cell r="C98">
            <v>0</v>
          </cell>
          <cell r="D98">
            <v>0</v>
          </cell>
          <cell r="E98">
            <v>3666.15</v>
          </cell>
        </row>
        <row r="99">
          <cell r="A99">
            <v>35008200</v>
          </cell>
          <cell r="B99" t="str">
            <v xml:space="preserve">      35008200  Insurance - F</v>
          </cell>
          <cell r="E99">
            <v>417.51</v>
          </cell>
        </row>
        <row r="100">
          <cell r="A100">
            <v>35008300</v>
          </cell>
          <cell r="B100" t="str">
            <v xml:space="preserve">      35008300  Insurance - Me</v>
          </cell>
          <cell r="C100">
            <v>97000</v>
          </cell>
          <cell r="D100">
            <v>-151000</v>
          </cell>
          <cell r="E100">
            <v>105181.91</v>
          </cell>
        </row>
        <row r="101">
          <cell r="A101">
            <v>35008500</v>
          </cell>
          <cell r="B101" t="str">
            <v xml:space="preserve">      35008500  Internet &amp; E-M</v>
          </cell>
          <cell r="C101">
            <v>0</v>
          </cell>
          <cell r="D101">
            <v>0</v>
          </cell>
          <cell r="E101">
            <v>0</v>
          </cell>
        </row>
        <row r="102">
          <cell r="A102">
            <v>35008600</v>
          </cell>
          <cell r="B102" t="str">
            <v xml:space="preserve">      35008600  IT Charges</v>
          </cell>
          <cell r="C102">
            <v>0</v>
          </cell>
          <cell r="D102">
            <v>0</v>
          </cell>
          <cell r="E102">
            <v>0</v>
          </cell>
        </row>
        <row r="103">
          <cell r="A103">
            <v>35013050</v>
          </cell>
          <cell r="B103" t="str">
            <v xml:space="preserve">      35013050  Cell Phone</v>
          </cell>
          <cell r="C103">
            <v>62998.48</v>
          </cell>
          <cell r="D103">
            <v>-61906.99</v>
          </cell>
          <cell r="E103">
            <v>79956.259999999995</v>
          </cell>
        </row>
        <row r="104">
          <cell r="A104">
            <v>35013400</v>
          </cell>
          <cell r="B104" t="str">
            <v xml:space="preserve">      35013400  Legal Fees</v>
          </cell>
          <cell r="C104">
            <v>18875</v>
          </cell>
          <cell r="D104">
            <v>0</v>
          </cell>
          <cell r="E104">
            <v>0</v>
          </cell>
        </row>
        <row r="105">
          <cell r="A105">
            <v>35013450</v>
          </cell>
          <cell r="B105" t="str">
            <v>License &amp; Regi</v>
          </cell>
        </row>
        <row r="106">
          <cell r="A106">
            <v>35014100</v>
          </cell>
          <cell r="B106" t="str">
            <v xml:space="preserve">      35014100  N-Papers/Perio</v>
          </cell>
          <cell r="C106">
            <v>1440</v>
          </cell>
          <cell r="D106">
            <v>1340</v>
          </cell>
          <cell r="E106">
            <v>4540</v>
          </cell>
        </row>
        <row r="107">
          <cell r="A107">
            <v>35014200</v>
          </cell>
          <cell r="B107" t="str">
            <v xml:space="preserve">      35014200  Office Mainten</v>
          </cell>
          <cell r="C107">
            <v>92939.42</v>
          </cell>
          <cell r="D107">
            <v>78385.33</v>
          </cell>
          <cell r="E107">
            <v>69172.39</v>
          </cell>
        </row>
        <row r="108">
          <cell r="A108">
            <v>35014400</v>
          </cell>
          <cell r="B108" t="str">
            <v xml:space="preserve">      35014400  Stationery exp</v>
          </cell>
          <cell r="C108">
            <v>49991.519999999997</v>
          </cell>
          <cell r="D108">
            <v>-35891.64</v>
          </cell>
          <cell r="E108">
            <v>51924.5</v>
          </cell>
        </row>
        <row r="109">
          <cell r="A109">
            <v>35014450</v>
          </cell>
          <cell r="B109" t="str">
            <v xml:space="preserve">      35014450  Printing expen</v>
          </cell>
          <cell r="C109">
            <v>60827.14</v>
          </cell>
          <cell r="D109">
            <v>-23461.89</v>
          </cell>
          <cell r="E109">
            <v>58050</v>
          </cell>
        </row>
        <row r="110">
          <cell r="A110">
            <v>35015300</v>
          </cell>
          <cell r="B110" t="str">
            <v xml:space="preserve">      35015300  Rent</v>
          </cell>
          <cell r="C110">
            <v>493650.08</v>
          </cell>
          <cell r="D110">
            <v>431349.42</v>
          </cell>
          <cell r="E110">
            <v>430860</v>
          </cell>
        </row>
        <row r="111">
          <cell r="A111">
            <v>35015550</v>
          </cell>
          <cell r="B111" t="str">
            <v xml:space="preserve">      35015550  Stamp Duty</v>
          </cell>
          <cell r="C111">
            <v>22975</v>
          </cell>
          <cell r="D111">
            <v>24050</v>
          </cell>
          <cell r="E111">
            <v>23600</v>
          </cell>
        </row>
        <row r="112">
          <cell r="A112">
            <v>35015700</v>
          </cell>
          <cell r="B112" t="str">
            <v xml:space="preserve">      35015700  Storage Charge</v>
          </cell>
          <cell r="C112">
            <v>0</v>
          </cell>
          <cell r="D112">
            <v>0</v>
          </cell>
          <cell r="E112">
            <v>0</v>
          </cell>
        </row>
        <row r="113">
          <cell r="A113">
            <v>35015750</v>
          </cell>
          <cell r="B113" t="str">
            <v xml:space="preserve">      35015750  Subscription -</v>
          </cell>
          <cell r="C113">
            <v>8000</v>
          </cell>
          <cell r="D113">
            <v>0</v>
          </cell>
          <cell r="E113">
            <v>0</v>
          </cell>
        </row>
        <row r="114">
          <cell r="A114">
            <v>35015800</v>
          </cell>
          <cell r="B114" t="str">
            <v xml:space="preserve">      35015800  Subscription-F</v>
          </cell>
          <cell r="C114">
            <v>0</v>
          </cell>
          <cell r="D114">
            <v>16000</v>
          </cell>
          <cell r="E114">
            <v>9182</v>
          </cell>
        </row>
        <row r="115">
          <cell r="A115">
            <v>35015850</v>
          </cell>
          <cell r="B115" t="str">
            <v xml:space="preserve">      35015850  Telephone</v>
          </cell>
          <cell r="C115">
            <v>120949.67</v>
          </cell>
          <cell r="D115">
            <v>910.32</v>
          </cell>
          <cell r="E115">
            <v>131819.76</v>
          </cell>
        </row>
        <row r="116">
          <cell r="A116">
            <v>35016600</v>
          </cell>
          <cell r="B116" t="str">
            <v xml:space="preserve">      35016600  Water</v>
          </cell>
          <cell r="C116">
            <v>7374</v>
          </cell>
          <cell r="D116">
            <v>3063</v>
          </cell>
          <cell r="E116">
            <v>3063</v>
          </cell>
        </row>
        <row r="117">
          <cell r="A117">
            <v>35016750</v>
          </cell>
          <cell r="B117" t="str">
            <v xml:space="preserve">      35016750  Bank Charges</v>
          </cell>
          <cell r="C117">
            <v>195679.8</v>
          </cell>
          <cell r="D117">
            <v>82073.740000000005</v>
          </cell>
          <cell r="E117">
            <v>73789.16</v>
          </cell>
        </row>
        <row r="118">
          <cell r="A118">
            <v>35016800</v>
          </cell>
          <cell r="B118" t="str">
            <v xml:space="preserve">      35016800  Bank Debit Tax</v>
          </cell>
          <cell r="C118">
            <v>158775.98000000001</v>
          </cell>
          <cell r="D118">
            <v>208323.63</v>
          </cell>
          <cell r="E118">
            <v>195133.42</v>
          </cell>
        </row>
        <row r="119">
          <cell r="A119">
            <v>35017550</v>
          </cell>
          <cell r="B119" t="str">
            <v xml:space="preserve">      35017550  Postage</v>
          </cell>
          <cell r="C119">
            <v>0</v>
          </cell>
          <cell r="D119">
            <v>560</v>
          </cell>
          <cell r="E119">
            <v>340</v>
          </cell>
        </row>
        <row r="120">
          <cell r="A120">
            <v>35001500</v>
          </cell>
          <cell r="B120" t="str">
            <v xml:space="preserve">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-140114281.19999999</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-9725135.9800000004</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158498036.99000001</v>
          </cell>
        </row>
        <row r="21">
          <cell r="A21" t="str">
            <v>TICKETING</v>
          </cell>
          <cell r="B21" t="str">
            <v>INCOME</v>
          </cell>
          <cell r="C21">
            <v>-8535992.6400000006</v>
          </cell>
        </row>
        <row r="22">
          <cell r="A22">
            <v>10005600</v>
          </cell>
          <cell r="B22" t="str">
            <v>TO-Tours</v>
          </cell>
          <cell r="C22">
            <v>-10196076.98</v>
          </cell>
        </row>
        <row r="23">
          <cell r="A23">
            <v>21002000</v>
          </cell>
          <cell r="B23" t="str">
            <v>COS-Tours</v>
          </cell>
          <cell r="C23">
            <v>9328307.7300000004</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-10743555.960000001</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16509.669999999998</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1266.6500000000001</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4857.0200000000004</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79956.259999999995</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42455.199999999997</v>
          </cell>
        </row>
        <row r="150">
          <cell r="A150" t="str">
            <v>TOTAL EXPE</v>
          </cell>
          <cell r="B150" t="str">
            <v>NSES</v>
          </cell>
          <cell r="C150">
            <v>8574665.3300000001</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-301077.03000000003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316869.09999999998</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-5.0293000000000001</v>
          </cell>
        </row>
        <row r="165">
          <cell r="A165" t="str">
            <v>S&amp;D Exp %</v>
          </cell>
          <cell r="B165" t="str">
            <v>to Sales</v>
          </cell>
          <cell r="C165">
            <v>-1.0602</v>
          </cell>
        </row>
        <row r="166">
          <cell r="A166" t="str">
            <v>Fin Cost %</v>
          </cell>
          <cell r="B166" t="str">
            <v>to Sales</v>
          </cell>
          <cell r="C166">
            <v>-3.0300000000000001E-2</v>
          </cell>
        </row>
        <row r="167">
          <cell r="A167" t="str">
            <v>NP % to Sa</v>
          </cell>
          <cell r="B167" t="str">
            <v>les</v>
          </cell>
          <cell r="C167">
            <v>2.0809000000000002</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4967996.9000000004</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-130900491.76000001</v>
          </cell>
        </row>
        <row r="8">
          <cell r="A8">
            <v>10002110</v>
          </cell>
          <cell r="B8" t="str">
            <v>TO-Sales Retur</v>
          </cell>
          <cell r="C8">
            <v>4967996.9000000004</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-6112626.9000000004</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280517.21999999997</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-6249120.1900000004</v>
          </cell>
        </row>
        <row r="23">
          <cell r="A23">
            <v>10005600</v>
          </cell>
          <cell r="B23" t="str">
            <v>TO-Tours</v>
          </cell>
          <cell r="C23">
            <v>-5303507.26</v>
          </cell>
        </row>
        <row r="24">
          <cell r="A24">
            <v>21002000</v>
          </cell>
          <cell r="B24" t="str">
            <v>COS-Tours</v>
          </cell>
          <cell r="C24">
            <v>4446786.4000000004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-8322874.5499999998</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1266.6500000000001</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6026425.7800000003</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18422.939999999999</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7496710.8899999997</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-77035214.280000001</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-2447599.2999999998</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-5544835.9500000002</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-6324545.4699999997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71165.460000000006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1266.6500000000001</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26285.119999999999</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2225595.7000000002</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4935093.1100000003</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40411.279999999999</v>
          </cell>
        </row>
        <row r="150">
          <cell r="A150">
            <v>44031152</v>
          </cell>
          <cell r="B150" t="str">
            <v>Motor Veh exp-</v>
          </cell>
          <cell r="C150">
            <v>0</v>
          </cell>
        </row>
        <row r="151">
          <cell r="A151">
            <v>44031153</v>
          </cell>
          <cell r="B151" t="str">
            <v>Motor Veh exp-</v>
          </cell>
          <cell r="C151">
            <v>21915.040000000001</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1094390.3999999999</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6045655.3899999997</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-669941.57999999996</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8.2098999999999993</v>
          </cell>
        </row>
        <row r="182">
          <cell r="A182" t="str">
            <v>** Salary</v>
          </cell>
          <cell r="B182" t="str">
            <v>% to Sales</v>
          </cell>
          <cell r="C182">
            <v>-3.2595999999999998</v>
          </cell>
        </row>
        <row r="183">
          <cell r="A183" t="str">
            <v>*** Est E</v>
          </cell>
          <cell r="B183" t="str">
            <v>xp % to Sales</v>
          </cell>
          <cell r="C183">
            <v>-6.4062999999999999</v>
          </cell>
        </row>
        <row r="184">
          <cell r="A184" t="str">
            <v>** S&amp;D Ex</v>
          </cell>
          <cell r="B184" t="str">
            <v>p % to Sales</v>
          </cell>
          <cell r="C184">
            <v>-1.4206000000000001</v>
          </cell>
        </row>
        <row r="185">
          <cell r="A185" t="str">
            <v>** Fin Co</v>
          </cell>
          <cell r="B185" t="str">
            <v>st % to Sales</v>
          </cell>
          <cell r="C185">
            <v>-2.1000000000000001E-2</v>
          </cell>
        </row>
        <row r="186">
          <cell r="A186" t="str">
            <v>***** NP</v>
          </cell>
          <cell r="B186" t="str">
            <v>% to Sales</v>
          </cell>
          <cell r="C186">
            <v>0.86970000000000003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318659.21000000002</v>
          </cell>
          <cell r="S33">
            <v>0</v>
          </cell>
          <cell r="T33">
            <v>318659.21000000002</v>
          </cell>
          <cell r="U33">
            <v>417796.98</v>
          </cell>
          <cell r="V33">
            <v>2423120.5299999998</v>
          </cell>
          <cell r="W33">
            <v>-2005323.55</v>
          </cell>
          <cell r="X33">
            <v>2528637.5499999998</v>
          </cell>
          <cell r="Y33">
            <v>318659.20999999996</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-146905.01999999999</v>
          </cell>
          <cell r="X34">
            <v>264134.96999999997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20065.560000000001</v>
          </cell>
          <cell r="S36">
            <v>0</v>
          </cell>
          <cell r="T36">
            <v>20065.560000000001</v>
          </cell>
          <cell r="U36">
            <v>26308.13</v>
          </cell>
          <cell r="V36">
            <v>69309.55</v>
          </cell>
          <cell r="W36">
            <v>-43001.42</v>
          </cell>
          <cell r="X36">
            <v>76515.960000000006</v>
          </cell>
          <cell r="Y36">
            <v>20065.560000000001</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4113.2700000000004</v>
          </cell>
          <cell r="V37">
            <v>14089.96</v>
          </cell>
          <cell r="W37">
            <v>-9976.69</v>
          </cell>
          <cell r="X37">
            <v>14969.54</v>
          </cell>
          <cell r="Y37">
            <v>3137.2400000000002</v>
          </cell>
          <cell r="Z37" t="str">
            <v>Employee Expenses</v>
          </cell>
        </row>
        <row r="38">
          <cell r="A38" t="str">
            <v>Australia</v>
          </cell>
          <cell r="B38" t="str">
            <v>Country</v>
          </cell>
          <cell r="C38" t="str">
            <v>Automotive Sales</v>
          </cell>
          <cell r="D38" t="str">
            <v>CONTRACTOR</v>
          </cell>
          <cell r="E38" t="str">
            <v>M&amp;R_SKILLED_TRADE_CO</v>
          </cell>
          <cell r="G38">
            <v>72.989999999999995</v>
          </cell>
          <cell r="H38">
            <v>112.12</v>
          </cell>
          <cell r="R38">
            <v>185.11</v>
          </cell>
          <cell r="S38">
            <v>0</v>
          </cell>
          <cell r="T38">
            <v>185.11</v>
          </cell>
          <cell r="U38">
            <v>244.3</v>
          </cell>
          <cell r="V38">
            <v>-3994.35</v>
          </cell>
          <cell r="W38">
            <v>4238.6499999999996</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-33582.980000000003</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71755.520000000004</v>
          </cell>
          <cell r="X41">
            <v>-30243.29</v>
          </cell>
          <cell r="Y41">
            <v>35379.009999999995</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8399.4699999999993</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318.22000000000003</v>
          </cell>
          <cell r="G44">
            <v>346.19</v>
          </cell>
          <cell r="H44">
            <v>512.94000000000005</v>
          </cell>
          <cell r="R44">
            <v>1177.3499999999999</v>
          </cell>
          <cell r="S44">
            <v>0</v>
          </cell>
          <cell r="T44">
            <v>1177.3499999999999</v>
          </cell>
          <cell r="U44">
            <v>1543.14</v>
          </cell>
          <cell r="V44">
            <v>18582.650000000001</v>
          </cell>
          <cell r="W44">
            <v>-17039.509999999998</v>
          </cell>
          <cell r="X44">
            <v>19092.64</v>
          </cell>
          <cell r="Y44">
            <v>1177.3500000000001</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306.16000000000003</v>
          </cell>
          <cell r="S48">
            <v>0</v>
          </cell>
          <cell r="T48">
            <v>306.16000000000003</v>
          </cell>
          <cell r="U48">
            <v>403.35</v>
          </cell>
          <cell r="V48">
            <v>4956.55</v>
          </cell>
          <cell r="W48">
            <v>-4553.2</v>
          </cell>
          <cell r="X48">
            <v>5115.05</v>
          </cell>
          <cell r="Y48">
            <v>306.15999999999997</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1077.8800000000001</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30260.720000000001</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18.380000000000003</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17566.259999999998</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39494.959999999999</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16741.240000000002</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1307.1799999999998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2616.2600000000002</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322.29000000000002</v>
          </cell>
          <cell r="H66">
            <v>1170.29</v>
          </cell>
          <cell r="R66">
            <v>1578.8</v>
          </cell>
          <cell r="S66">
            <v>0</v>
          </cell>
          <cell r="T66">
            <v>1578.8</v>
          </cell>
          <cell r="U66">
            <v>2067.31</v>
          </cell>
          <cell r="V66">
            <v>2070.35</v>
          </cell>
          <cell r="W66">
            <v>-3.04</v>
          </cell>
          <cell r="X66">
            <v>2109.9299999999998</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652.70000000000005</v>
          </cell>
          <cell r="W68">
            <v>-145.65</v>
          </cell>
          <cell r="X68">
            <v>650.94000000000005</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2104.2399999999998</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130.13999999999999</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19448.419999999998</v>
          </cell>
          <cell r="Y73">
            <v>5798.6900000000005</v>
          </cell>
          <cell r="Z73" t="str">
            <v>Non Cash</v>
          </cell>
        </row>
        <row r="74">
          <cell r="A74" t="str">
            <v>Australia</v>
          </cell>
          <cell r="B74" t="str">
            <v>Country</v>
          </cell>
          <cell r="C74" t="str">
            <v>Field Engineering Su</v>
          </cell>
          <cell r="D74" t="str">
            <v>EMPLOYEE</v>
          </cell>
          <cell r="E74" t="str">
            <v>SWB</v>
          </cell>
          <cell r="F74">
            <v>68576.289999999994</v>
          </cell>
          <cell r="G74">
            <v>64860.65</v>
          </cell>
          <cell r="H74">
            <v>67269.08</v>
          </cell>
          <cell r="R74">
            <v>200706.02</v>
          </cell>
          <cell r="S74">
            <v>0</v>
          </cell>
          <cell r="T74">
            <v>200706.02</v>
          </cell>
          <cell r="U74">
            <v>263147.52000000002</v>
          </cell>
          <cell r="V74">
            <v>961939.99</v>
          </cell>
          <cell r="W74">
            <v>-698792.47</v>
          </cell>
          <cell r="X74">
            <v>1027899.39</v>
          </cell>
          <cell r="Y74">
            <v>200706.02000000002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38580.160000000003</v>
          </cell>
          <cell r="V75">
            <v>170828.24</v>
          </cell>
          <cell r="W75">
            <v>-132248.07999999999</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10197.950000000001</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1174.8800000000001</v>
          </cell>
          <cell r="G79">
            <v>1111.22</v>
          </cell>
          <cell r="H79">
            <v>1152.48</v>
          </cell>
          <cell r="R79">
            <v>3438.58</v>
          </cell>
          <cell r="S79">
            <v>0</v>
          </cell>
          <cell r="T79">
            <v>3438.58</v>
          </cell>
          <cell r="U79">
            <v>4508.33</v>
          </cell>
          <cell r="V79">
            <v>15289.95</v>
          </cell>
          <cell r="W79">
            <v>-10781.62</v>
          </cell>
          <cell r="X79">
            <v>16254.94</v>
          </cell>
          <cell r="Y79">
            <v>3438.5800000000004</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295.39999999999998</v>
          </cell>
          <cell r="H83">
            <v>1483.92</v>
          </cell>
          <cell r="R83">
            <v>1976.09</v>
          </cell>
          <cell r="S83">
            <v>0</v>
          </cell>
          <cell r="T83">
            <v>1976.09</v>
          </cell>
          <cell r="U83">
            <v>2580.8000000000002</v>
          </cell>
          <cell r="V83">
            <v>4809.95</v>
          </cell>
          <cell r="W83">
            <v>-2229.15</v>
          </cell>
          <cell r="X83">
            <v>5030.1499999999996</v>
          </cell>
          <cell r="Y83">
            <v>1976.0900000000001</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1293.4000000000001</v>
          </cell>
          <cell r="Y86">
            <v>0</v>
          </cell>
          <cell r="Z86" t="str">
            <v>Freight/Transportation</v>
          </cell>
        </row>
        <row r="87">
          <cell r="A87" t="str">
            <v>Australia</v>
          </cell>
          <cell r="B87" t="str">
            <v>Country</v>
          </cell>
          <cell r="C87" t="str">
            <v>Field Engineering Su</v>
          </cell>
          <cell r="D87" t="str">
            <v>OTHER CASH</v>
          </cell>
          <cell r="E87" t="str">
            <v>CLAIM&amp;DAMAGE</v>
          </cell>
          <cell r="V87">
            <v>8608.3799999999992</v>
          </cell>
          <cell r="W87">
            <v>-8608.3799999999992</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-34650.730000000003</v>
          </cell>
          <cell r="X89">
            <v>49059</v>
          </cell>
          <cell r="Y89">
            <v>8390.5099999999984</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267753.46000000002</v>
          </cell>
          <cell r="S90">
            <v>0</v>
          </cell>
          <cell r="T90">
            <v>267753.46000000002</v>
          </cell>
          <cell r="U90">
            <v>351234.36</v>
          </cell>
          <cell r="V90">
            <v>979911.26</v>
          </cell>
          <cell r="W90">
            <v>-628676.9</v>
          </cell>
          <cell r="X90">
            <v>1109214.9099999999</v>
          </cell>
          <cell r="Y90">
            <v>267753.45999999996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8477.2800000000007</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4270.4799999999996</v>
          </cell>
          <cell r="R93">
            <v>4270.4799999999996</v>
          </cell>
          <cell r="S93">
            <v>0</v>
          </cell>
          <cell r="T93">
            <v>4270.4799999999996</v>
          </cell>
          <cell r="U93">
            <v>5551.88</v>
          </cell>
          <cell r="W93">
            <v>5551.88</v>
          </cell>
          <cell r="Y93">
            <v>4270.4799999999996</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70279.070000000007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2525.0500000000002</v>
          </cell>
          <cell r="S95">
            <v>0</v>
          </cell>
          <cell r="T95">
            <v>2525.0500000000002</v>
          </cell>
          <cell r="U95">
            <v>3312.91</v>
          </cell>
          <cell r="V95">
            <v>14123.67</v>
          </cell>
          <cell r="W95">
            <v>-10810.76</v>
          </cell>
          <cell r="X95">
            <v>15009.13</v>
          </cell>
          <cell r="Y95">
            <v>2525.0500000000002</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1236.9000000000001</v>
          </cell>
          <cell r="R97">
            <v>2249.6999999999998</v>
          </cell>
          <cell r="S97">
            <v>0</v>
          </cell>
          <cell r="T97">
            <v>2249.6999999999998</v>
          </cell>
          <cell r="U97">
            <v>2975.18</v>
          </cell>
          <cell r="V97">
            <v>21925.31</v>
          </cell>
          <cell r="W97">
            <v>-18950.13</v>
          </cell>
          <cell r="X97">
            <v>23786.94</v>
          </cell>
          <cell r="Y97">
            <v>2249.6999999999998</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623.69000000000005</v>
          </cell>
          <cell r="R102">
            <v>1233.57</v>
          </cell>
          <cell r="S102">
            <v>0</v>
          </cell>
          <cell r="T102">
            <v>1233.57</v>
          </cell>
          <cell r="U102">
            <v>1609.2</v>
          </cell>
          <cell r="V102">
            <v>13549.96</v>
          </cell>
          <cell r="W102">
            <v>-11940.76</v>
          </cell>
          <cell r="X102">
            <v>14030.49</v>
          </cell>
          <cell r="Y102">
            <v>1233.5700000000002</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55952.160000000003</v>
          </cell>
          <cell r="Y103">
            <v>0</v>
          </cell>
          <cell r="Z103" t="str">
            <v>Other Direct Opex</v>
          </cell>
        </row>
        <row r="104">
          <cell r="A104" t="str">
            <v>Australia</v>
          </cell>
          <cell r="B104" t="str">
            <v>Country</v>
          </cell>
          <cell r="C104" t="str">
            <v>Industrial Sales</v>
          </cell>
          <cell r="D104" t="str">
            <v>UTILITIES</v>
          </cell>
          <cell r="E104" t="str">
            <v>UTILITIES</v>
          </cell>
          <cell r="V104">
            <v>-1.1100000000000001</v>
          </cell>
          <cell r="W104">
            <v>1.1100000000000001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8.1999999999999993</v>
          </cell>
          <cell r="V106">
            <v>2480.7800000000002</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36.119999999999997</v>
          </cell>
          <cell r="W107">
            <v>-36.119999999999997</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653.54999999999995</v>
          </cell>
          <cell r="S109">
            <v>0</v>
          </cell>
          <cell r="T109">
            <v>653.54999999999995</v>
          </cell>
          <cell r="U109">
            <v>856.87</v>
          </cell>
          <cell r="V109">
            <v>3001.55</v>
          </cell>
          <cell r="W109">
            <v>-2144.6799999999998</v>
          </cell>
          <cell r="X109">
            <v>3196.1</v>
          </cell>
          <cell r="Y109">
            <v>653.54999999999995</v>
          </cell>
          <cell r="Z109" t="str">
            <v>Other Direct Opex</v>
          </cell>
        </row>
        <row r="110">
          <cell r="A110" t="str">
            <v>Australia</v>
          </cell>
          <cell r="B110" t="str">
            <v>Country</v>
          </cell>
          <cell r="C110" t="str">
            <v>Industrial Sales</v>
          </cell>
          <cell r="D110" t="str">
            <v>OTHER CASH</v>
          </cell>
          <cell r="E110" t="str">
            <v>CLAIM&amp;DAMAGE</v>
          </cell>
          <cell r="V110">
            <v>2324.4499999999998</v>
          </cell>
          <cell r="W110">
            <v>-2324.4499999999998</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5082.8599999999997</v>
          </cell>
          <cell r="G112">
            <v>46314.18</v>
          </cell>
          <cell r="H112">
            <v>-6608.72</v>
          </cell>
          <cell r="R112">
            <v>44788.32</v>
          </cell>
          <cell r="S112">
            <v>0</v>
          </cell>
          <cell r="T112">
            <v>44788.32</v>
          </cell>
          <cell r="U112">
            <v>60458.43</v>
          </cell>
          <cell r="V112">
            <v>77012.179999999993</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4861.6899999999996</v>
          </cell>
          <cell r="W113">
            <v>-4837.59</v>
          </cell>
          <cell r="X113">
            <v>5767.98</v>
          </cell>
          <cell r="Y113">
            <v>18.380000000000003</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16915.099999999999</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5086.8900000000003</v>
          </cell>
          <cell r="S115">
            <v>0</v>
          </cell>
          <cell r="T115">
            <v>5086.8900000000003</v>
          </cell>
          <cell r="U115">
            <v>6691.25</v>
          </cell>
          <cell r="V115">
            <v>23449.5</v>
          </cell>
          <cell r="W115">
            <v>-16758.25</v>
          </cell>
          <cell r="X115">
            <v>24969.439999999999</v>
          </cell>
          <cell r="Y115">
            <v>5086.8899999999994</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40082.720000000001</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323.02999999999997</v>
          </cell>
          <cell r="V121">
            <v>1509.14</v>
          </cell>
          <cell r="W121">
            <v>-1186.1099999999999</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307.33999999999997</v>
          </cell>
          <cell r="R125">
            <v>915.64</v>
          </cell>
          <cell r="S125">
            <v>0</v>
          </cell>
          <cell r="T125">
            <v>915.64</v>
          </cell>
          <cell r="U125">
            <v>1200.5</v>
          </cell>
          <cell r="V125">
            <v>4206.08</v>
          </cell>
          <cell r="W125">
            <v>-3005.58</v>
          </cell>
          <cell r="X125">
            <v>4478.68</v>
          </cell>
          <cell r="Y125">
            <v>915.63999999999987</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25655.370000000003</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10136.200000000001</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16404.439999999999</v>
          </cell>
          <cell r="W129">
            <v>17197.02</v>
          </cell>
          <cell r="X129">
            <v>17042.45</v>
          </cell>
          <cell r="Y129">
            <v>25058.790000000005</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146.88999999999999</v>
          </cell>
          <cell r="H133">
            <v>184.82</v>
          </cell>
          <cell r="R133">
            <v>1727.33</v>
          </cell>
          <cell r="S133">
            <v>0</v>
          </cell>
          <cell r="T133">
            <v>1727.33</v>
          </cell>
          <cell r="U133">
            <v>2232.35</v>
          </cell>
          <cell r="V133">
            <v>100846.83</v>
          </cell>
          <cell r="W133">
            <v>-98614.48</v>
          </cell>
          <cell r="X133">
            <v>118270.38</v>
          </cell>
          <cell r="Y133">
            <v>1727.3299999999997</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39769.589999999997</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2110.5100000000002</v>
          </cell>
          <cell r="H136">
            <v>1457.23</v>
          </cell>
          <cell r="R136">
            <v>4973.01</v>
          </cell>
          <cell r="S136">
            <v>0</v>
          </cell>
          <cell r="T136">
            <v>4973.01</v>
          </cell>
          <cell r="U136">
            <v>6549.57</v>
          </cell>
          <cell r="V136">
            <v>34805.440000000002</v>
          </cell>
          <cell r="W136">
            <v>-28255.87</v>
          </cell>
          <cell r="X136">
            <v>37334.800000000003</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19636.259999999998</v>
          </cell>
          <cell r="W141">
            <v>-19636.259999999998</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1234.8499999999999</v>
          </cell>
          <cell r="R142">
            <v>4627.3599999999997</v>
          </cell>
          <cell r="S142">
            <v>0</v>
          </cell>
          <cell r="T142">
            <v>4627.3599999999997</v>
          </cell>
          <cell r="U142">
            <v>6072.2</v>
          </cell>
          <cell r="V142">
            <v>16782.669999999998</v>
          </cell>
          <cell r="W142">
            <v>-10710.47</v>
          </cell>
          <cell r="X142">
            <v>17703.52</v>
          </cell>
          <cell r="Y142">
            <v>4627.3600000000006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9323.1699999999983</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4202.5600000000004</v>
          </cell>
          <cell r="G148">
            <v>8446.67</v>
          </cell>
          <cell r="H148">
            <v>2468.2199999999998</v>
          </cell>
          <cell r="R148">
            <v>15117.45</v>
          </cell>
          <cell r="S148">
            <v>0</v>
          </cell>
          <cell r="T148">
            <v>15117.45</v>
          </cell>
          <cell r="U148">
            <v>20012.12</v>
          </cell>
          <cell r="V148">
            <v>36769.620000000003</v>
          </cell>
          <cell r="W148">
            <v>-16757.5</v>
          </cell>
          <cell r="X148">
            <v>37592.9</v>
          </cell>
          <cell r="Y148">
            <v>15117.449999999999</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270.22000000000003</v>
          </cell>
          <cell r="G150">
            <v>194.49</v>
          </cell>
          <cell r="R150">
            <v>464.71</v>
          </cell>
          <cell r="S150">
            <v>0</v>
          </cell>
          <cell r="T150">
            <v>464.71</v>
          </cell>
          <cell r="U150">
            <v>609.85</v>
          </cell>
          <cell r="V150">
            <v>79.42</v>
          </cell>
          <cell r="W150">
            <v>530.42999999999995</v>
          </cell>
          <cell r="X150">
            <v>85.29</v>
          </cell>
          <cell r="Y150">
            <v>464.71000000000004</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-165844.14000000001</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34335.199999999997</v>
          </cell>
          <cell r="R161">
            <v>99577.95</v>
          </cell>
          <cell r="S161">
            <v>0</v>
          </cell>
          <cell r="T161">
            <v>99577.95</v>
          </cell>
          <cell r="U161">
            <v>100176</v>
          </cell>
          <cell r="V161">
            <v>272379.53999999998</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-29061.200000000001</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4646.9399999999996</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11308.300000000001</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-17159.169999999998</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-1122.6199999999999</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574.08000000000004</v>
          </cell>
          <cell r="W174">
            <v>-574.08000000000004</v>
          </cell>
          <cell r="X174">
            <v>560.62</v>
          </cell>
          <cell r="Y174">
            <v>0</v>
          </cell>
          <cell r="Z174" t="str">
            <v>Services</v>
          </cell>
        </row>
        <row r="175">
          <cell r="A175" t="str">
            <v>China</v>
          </cell>
          <cell r="B175" t="str">
            <v>BSC</v>
          </cell>
          <cell r="C175" t="str">
            <v>Sales Support Specia</v>
          </cell>
          <cell r="D175" t="str">
            <v>TAX</v>
          </cell>
          <cell r="E175" t="str">
            <v>TAX</v>
          </cell>
          <cell r="G175">
            <v>0.56999999999999995</v>
          </cell>
          <cell r="R175">
            <v>0.56999999999999995</v>
          </cell>
          <cell r="S175">
            <v>0</v>
          </cell>
          <cell r="T175">
            <v>0.56999999999999995</v>
          </cell>
          <cell r="U175">
            <v>0.56999999999999995</v>
          </cell>
          <cell r="V175">
            <v>9753.02</v>
          </cell>
          <cell r="W175">
            <v>-9752.4500000000007</v>
          </cell>
          <cell r="X175">
            <v>9531.92</v>
          </cell>
          <cell r="Y175">
            <v>0.56999999999999995</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39.229999999999997</v>
          </cell>
          <cell r="R176">
            <v>117.66</v>
          </cell>
          <cell r="S176">
            <v>0</v>
          </cell>
          <cell r="T176">
            <v>117.66</v>
          </cell>
          <cell r="U176">
            <v>118.36</v>
          </cell>
          <cell r="V176">
            <v>390.64</v>
          </cell>
          <cell r="W176">
            <v>-272.27999999999997</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16.670000000000002</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311.77999999999997</v>
          </cell>
          <cell r="H179">
            <v>312.39</v>
          </cell>
          <cell r="R179">
            <v>936.93</v>
          </cell>
          <cell r="S179">
            <v>0</v>
          </cell>
          <cell r="T179">
            <v>936.93</v>
          </cell>
          <cell r="U179">
            <v>942.54</v>
          </cell>
          <cell r="V179">
            <v>3067.36</v>
          </cell>
          <cell r="W179">
            <v>-2124.8200000000002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9971.6299999999992</v>
          </cell>
          <cell r="G180">
            <v>12949.59</v>
          </cell>
          <cell r="H180">
            <v>10806.06</v>
          </cell>
          <cell r="R180">
            <v>33727.279999999999</v>
          </cell>
          <cell r="S180">
            <v>0</v>
          </cell>
          <cell r="T180">
            <v>33727.279999999999</v>
          </cell>
          <cell r="U180">
            <v>33934.47</v>
          </cell>
          <cell r="W180">
            <v>33934.47</v>
          </cell>
          <cell r="Y180">
            <v>33727.279999999999</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154414.26999999999</v>
          </cell>
          <cell r="R182">
            <v>443113.7</v>
          </cell>
          <cell r="S182">
            <v>0</v>
          </cell>
          <cell r="T182">
            <v>443113.7</v>
          </cell>
          <cell r="U182">
            <v>445776.39</v>
          </cell>
          <cell r="V182">
            <v>1737812.23</v>
          </cell>
          <cell r="W182">
            <v>-1292035.8400000001</v>
          </cell>
          <cell r="X182">
            <v>1697843.6</v>
          </cell>
          <cell r="Y182">
            <v>443113.69999999995</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1109510.6399999999</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1247.0999999999999</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69926.080000000002</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34357.589999999997</v>
          </cell>
          <cell r="S187">
            <v>0</v>
          </cell>
          <cell r="T187">
            <v>34357.589999999997</v>
          </cell>
          <cell r="U187">
            <v>34563.519999999997</v>
          </cell>
          <cell r="V187">
            <v>132781.12</v>
          </cell>
          <cell r="W187">
            <v>-98217.600000000006</v>
          </cell>
          <cell r="X187">
            <v>129720.39</v>
          </cell>
          <cell r="Y187">
            <v>34357.589999999997</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8568.7900000000009</v>
          </cell>
          <cell r="H191">
            <v>126510.5</v>
          </cell>
          <cell r="R191">
            <v>135079.29</v>
          </cell>
          <cell r="S191">
            <v>0</v>
          </cell>
          <cell r="T191">
            <v>135079.29</v>
          </cell>
          <cell r="U191">
            <v>135856.72</v>
          </cell>
          <cell r="V191">
            <v>41878.410000000003</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4345.0600000000004</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315.83999999999997</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1749.3000000000002</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4571.3999999999996</v>
          </cell>
          <cell r="W197">
            <v>-3183.82</v>
          </cell>
          <cell r="X197">
            <v>4462.8900000000003</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564.54999999999995</v>
          </cell>
          <cell r="H198">
            <v>660.98</v>
          </cell>
          <cell r="R198">
            <v>2563.81</v>
          </cell>
          <cell r="S198">
            <v>0</v>
          </cell>
          <cell r="T198">
            <v>2563.81</v>
          </cell>
          <cell r="U198">
            <v>2577.87</v>
          </cell>
          <cell r="V198">
            <v>8699.1</v>
          </cell>
          <cell r="W198">
            <v>-6121.23</v>
          </cell>
          <cell r="X198">
            <v>8496.2900000000009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1128.1500000000001</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4202.3599999999997</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1102.6400000000001</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1059.1600000000001</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545.19000000000005</v>
          </cell>
          <cell r="X206">
            <v>550.67999999999995</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157.11000000000001</v>
          </cell>
          <cell r="G208">
            <v>156.59</v>
          </cell>
          <cell r="H208">
            <v>156.91999999999999</v>
          </cell>
          <cell r="R208">
            <v>470.62</v>
          </cell>
          <cell r="S208">
            <v>0</v>
          </cell>
          <cell r="T208">
            <v>470.62</v>
          </cell>
          <cell r="U208">
            <v>473.43</v>
          </cell>
          <cell r="V208">
            <v>2142.35</v>
          </cell>
          <cell r="W208">
            <v>-1668.92</v>
          </cell>
          <cell r="X208">
            <v>2093.0100000000002</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157.77000000000001</v>
          </cell>
          <cell r="R210">
            <v>473.21</v>
          </cell>
          <cell r="S210">
            <v>0</v>
          </cell>
          <cell r="T210">
            <v>473.21</v>
          </cell>
          <cell r="U210">
            <v>476.03</v>
          </cell>
          <cell r="V210">
            <v>1728.52</v>
          </cell>
          <cell r="W210">
            <v>-1252.49</v>
          </cell>
          <cell r="X210">
            <v>1688.42</v>
          </cell>
          <cell r="Y210">
            <v>473.21000000000004</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2534.8000000000002</v>
          </cell>
          <cell r="G213">
            <v>2242.63</v>
          </cell>
          <cell r="H213">
            <v>3865.84</v>
          </cell>
          <cell r="R213">
            <v>8643.27</v>
          </cell>
          <cell r="S213">
            <v>0</v>
          </cell>
          <cell r="T213">
            <v>8643.27</v>
          </cell>
          <cell r="U213">
            <v>8694.3700000000008</v>
          </cell>
          <cell r="V213">
            <v>55566.559999999998</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1247.1099999999999</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20088.259999999998</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134554.67000000001</v>
          </cell>
          <cell r="Y219">
            <v>11169.880000000001</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40346.379999999997</v>
          </cell>
          <cell r="W220">
            <v>-33674.22</v>
          </cell>
          <cell r="X220">
            <v>39417.440000000002</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17091.490000000002</v>
          </cell>
          <cell r="S222">
            <v>0</v>
          </cell>
          <cell r="T222">
            <v>17091.490000000002</v>
          </cell>
          <cell r="U222">
            <v>17193.990000000002</v>
          </cell>
          <cell r="V222">
            <v>70335.06</v>
          </cell>
          <cell r="W222">
            <v>-53141.07</v>
          </cell>
          <cell r="X222">
            <v>68712.789999999994</v>
          </cell>
          <cell r="Y222">
            <v>17091.489999999998</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143885.48000000001</v>
          </cell>
          <cell r="W225">
            <v>-143885.48000000001</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-80.400000000000006</v>
          </cell>
          <cell r="W227">
            <v>80.400000000000006</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-2.1800000000000002</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263.66000000000003</v>
          </cell>
          <cell r="W229">
            <v>263.66000000000003</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259.22000000000003</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-32185.759999999998</v>
          </cell>
          <cell r="X233">
            <v>35496.33</v>
          </cell>
          <cell r="Y233">
            <v>4139.0300000000007</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4114.7700000000004</v>
          </cell>
          <cell r="Y234">
            <v>999.90000000000009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2363.8200000000002</v>
          </cell>
          <cell r="S235">
            <v>0</v>
          </cell>
          <cell r="T235">
            <v>2363.8200000000002</v>
          </cell>
          <cell r="U235">
            <v>2378.6799999999998</v>
          </cell>
          <cell r="V235">
            <v>10975.81</v>
          </cell>
          <cell r="W235">
            <v>-8597.1299999999992</v>
          </cell>
          <cell r="X235">
            <v>10708.28</v>
          </cell>
          <cell r="Y235">
            <v>2363.8199999999997</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257.16000000000003</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644.70000000000005</v>
          </cell>
          <cell r="W238">
            <v>-644.70000000000005</v>
          </cell>
          <cell r="X238">
            <v>629.66999999999996</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1057.6199999999999</v>
          </cell>
          <cell r="S242">
            <v>0</v>
          </cell>
          <cell r="T242">
            <v>1057.6199999999999</v>
          </cell>
          <cell r="U242">
            <v>1065.6199999999999</v>
          </cell>
          <cell r="V242">
            <v>4521.8599999999997</v>
          </cell>
          <cell r="W242">
            <v>-3456.24</v>
          </cell>
          <cell r="X242">
            <v>4382.12</v>
          </cell>
          <cell r="Y242">
            <v>1057.6199999999999</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83539.490000000005</v>
          </cell>
          <cell r="Y245">
            <v>7058.2199999999993</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17402.240000000002</v>
          </cell>
          <cell r="H246">
            <v>35238.43</v>
          </cell>
          <cell r="R246">
            <v>78943.240000000005</v>
          </cell>
          <cell r="S246">
            <v>0</v>
          </cell>
          <cell r="T246">
            <v>78943.240000000005</v>
          </cell>
          <cell r="U246">
            <v>79401.81</v>
          </cell>
          <cell r="V246">
            <v>432945.15</v>
          </cell>
          <cell r="W246">
            <v>-353543.34</v>
          </cell>
          <cell r="X246">
            <v>422881.67</v>
          </cell>
          <cell r="Y246">
            <v>78943.239999999991</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81.459999999999994</v>
          </cell>
          <cell r="R247">
            <v>244.35</v>
          </cell>
          <cell r="S247">
            <v>0</v>
          </cell>
          <cell r="T247">
            <v>244.35</v>
          </cell>
          <cell r="U247">
            <v>245.83</v>
          </cell>
          <cell r="V247">
            <v>1135.53</v>
          </cell>
          <cell r="W247">
            <v>-889.7</v>
          </cell>
          <cell r="X247">
            <v>1109.3499999999999</v>
          </cell>
          <cell r="Y247">
            <v>244.34999999999997</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32867.980000000003</v>
          </cell>
          <cell r="V249">
            <v>136450.34</v>
          </cell>
          <cell r="W249">
            <v>-103582.36</v>
          </cell>
          <cell r="X249">
            <v>132402.79999999999</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51502.400000000001</v>
          </cell>
          <cell r="W252">
            <v>-43149.75</v>
          </cell>
          <cell r="X252">
            <v>50310.29</v>
          </cell>
          <cell r="Y252">
            <v>8303.6899999999987</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2396.3200000000002</v>
          </cell>
          <cell r="V253">
            <v>91115.36</v>
          </cell>
          <cell r="W253">
            <v>-88719.039999999994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9165.2900000000009</v>
          </cell>
          <cell r="S254">
            <v>0</v>
          </cell>
          <cell r="T254">
            <v>9165.2900000000009</v>
          </cell>
          <cell r="U254">
            <v>9225.27</v>
          </cell>
          <cell r="V254">
            <v>39828.74</v>
          </cell>
          <cell r="W254">
            <v>-30603.47</v>
          </cell>
          <cell r="X254">
            <v>38898.53</v>
          </cell>
          <cell r="Y254">
            <v>9165.2899999999991</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1271.1300000000001</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303.27999999999997</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68080.149999999994</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31831.360000000001</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532.41999999999996</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1.1299999999999999</v>
          </cell>
          <cell r="R277">
            <v>1.1299999999999999</v>
          </cell>
          <cell r="S277">
            <v>0</v>
          </cell>
          <cell r="T277">
            <v>1.1299999999999999</v>
          </cell>
          <cell r="U277">
            <v>1.1299999999999999</v>
          </cell>
          <cell r="W277">
            <v>1.1299999999999999</v>
          </cell>
          <cell r="Y277">
            <v>1.1299999999999999</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22479.119999999999</v>
          </cell>
          <cell r="W281">
            <v>-18119.150000000001</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623.55999999999995</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145605.48000000001</v>
          </cell>
          <cell r="S284">
            <v>0</v>
          </cell>
          <cell r="T284">
            <v>145605.48000000001</v>
          </cell>
          <cell r="U284">
            <v>146468.07999999999</v>
          </cell>
          <cell r="V284">
            <v>807089.51</v>
          </cell>
          <cell r="W284">
            <v>-660621.43000000005</v>
          </cell>
          <cell r="X284">
            <v>788362.23999999999</v>
          </cell>
          <cell r="Y284">
            <v>145605.48000000001</v>
          </cell>
          <cell r="Z284" t="str">
            <v>T&amp;E</v>
          </cell>
        </row>
        <row r="285">
          <cell r="A285" t="str">
            <v>China</v>
          </cell>
          <cell r="B285" t="str">
            <v>Country</v>
          </cell>
          <cell r="C285" t="str">
            <v>Industrial Sales</v>
          </cell>
          <cell r="D285" t="str">
            <v>EMPLOYEE</v>
          </cell>
          <cell r="E285" t="str">
            <v>TRAINING</v>
          </cell>
          <cell r="F285">
            <v>2416.7399999999998</v>
          </cell>
          <cell r="R285">
            <v>2416.7399999999998</v>
          </cell>
          <cell r="S285">
            <v>0</v>
          </cell>
          <cell r="T285">
            <v>2416.7399999999998</v>
          </cell>
          <cell r="U285">
            <v>2427.34</v>
          </cell>
          <cell r="V285">
            <v>45126.78</v>
          </cell>
          <cell r="W285">
            <v>-42699.44</v>
          </cell>
          <cell r="X285">
            <v>44094.8</v>
          </cell>
          <cell r="Y285">
            <v>2416.7399999999998</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17419.310000000001</v>
          </cell>
          <cell r="S286">
            <v>0</v>
          </cell>
          <cell r="T286">
            <v>17419.310000000001</v>
          </cell>
          <cell r="U286">
            <v>17519.2</v>
          </cell>
          <cell r="V286">
            <v>82006.05</v>
          </cell>
          <cell r="W286">
            <v>-64486.85</v>
          </cell>
          <cell r="X286">
            <v>80103.03</v>
          </cell>
          <cell r="Y286">
            <v>17419.309999999998</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30958.190000000002</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9324.2900000000009</v>
          </cell>
          <cell r="R288">
            <v>27998.63</v>
          </cell>
          <cell r="S288">
            <v>0</v>
          </cell>
          <cell r="T288">
            <v>27998.63</v>
          </cell>
          <cell r="U288">
            <v>28166.59</v>
          </cell>
          <cell r="V288">
            <v>110980.27</v>
          </cell>
          <cell r="W288">
            <v>-82813.679999999993</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27771.439999999999</v>
          </cell>
          <cell r="R294">
            <v>36697.019999999997</v>
          </cell>
          <cell r="S294">
            <v>0</v>
          </cell>
          <cell r="T294">
            <v>36697.019999999997</v>
          </cell>
          <cell r="U294">
            <v>36900.79</v>
          </cell>
          <cell r="V294">
            <v>131726.44</v>
          </cell>
          <cell r="W294">
            <v>-94825.65</v>
          </cell>
          <cell r="X294">
            <v>128710.83</v>
          </cell>
          <cell r="Y294">
            <v>36697.019999999997</v>
          </cell>
          <cell r="Z294" t="str">
            <v>Services</v>
          </cell>
        </row>
        <row r="295">
          <cell r="A295" t="str">
            <v>China</v>
          </cell>
          <cell r="B295" t="str">
            <v>Country</v>
          </cell>
          <cell r="C295" t="str">
            <v>Industrial Sales</v>
          </cell>
          <cell r="D295" t="str">
            <v>SERVICE</v>
          </cell>
          <cell r="E295" t="str">
            <v>FINANCIAL_INSURANCE</v>
          </cell>
          <cell r="V295">
            <v>304.52999999999997</v>
          </cell>
          <cell r="W295">
            <v>-304.52999999999997</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1337.1000000000001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997.06999999999994</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18.010000000000002</v>
          </cell>
          <cell r="W302">
            <v>-18.010000000000002</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66198.350000000006</v>
          </cell>
          <cell r="V307">
            <v>209935.37</v>
          </cell>
          <cell r="W307">
            <v>-143737.01999999999</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654.57000000000005</v>
          </cell>
          <cell r="R310">
            <v>1952.49</v>
          </cell>
          <cell r="S310">
            <v>0</v>
          </cell>
          <cell r="T310">
            <v>1952.49</v>
          </cell>
          <cell r="U310">
            <v>2114.6</v>
          </cell>
          <cell r="V310">
            <v>10964.34</v>
          </cell>
          <cell r="W310">
            <v>-8849.74</v>
          </cell>
          <cell r="X310">
            <v>11336.77</v>
          </cell>
          <cell r="Y310">
            <v>1952.4900000000002</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1058.9000000000001</v>
          </cell>
          <cell r="G313">
            <v>2322.33</v>
          </cell>
          <cell r="H313">
            <v>2284.9</v>
          </cell>
          <cell r="R313">
            <v>5666.13</v>
          </cell>
          <cell r="S313">
            <v>0</v>
          </cell>
          <cell r="T313">
            <v>5666.13</v>
          </cell>
          <cell r="U313">
            <v>5702.11</v>
          </cell>
          <cell r="V313">
            <v>48536.51</v>
          </cell>
          <cell r="W313">
            <v>-42834.400000000001</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35526.550000000003</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22572.720000000001</v>
          </cell>
          <cell r="W320">
            <v>-17208.439999999999</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2295.3000000000002</v>
          </cell>
          <cell r="H321">
            <v>2392.84</v>
          </cell>
          <cell r="R321">
            <v>5638.36</v>
          </cell>
          <cell r="S321">
            <v>0</v>
          </cell>
          <cell r="T321">
            <v>5638.36</v>
          </cell>
          <cell r="U321">
            <v>5674.28</v>
          </cell>
          <cell r="V321">
            <v>11692.37</v>
          </cell>
          <cell r="W321">
            <v>-6018.09</v>
          </cell>
          <cell r="X321">
            <v>11421.28</v>
          </cell>
          <cell r="Y321">
            <v>5638.3600000000006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4194.8900000000003</v>
          </cell>
          <cell r="S322">
            <v>0</v>
          </cell>
          <cell r="T322">
            <v>4194.8900000000003</v>
          </cell>
          <cell r="U322">
            <v>4220.95</v>
          </cell>
          <cell r="V322">
            <v>19095.490000000002</v>
          </cell>
          <cell r="W322">
            <v>-14874.54</v>
          </cell>
          <cell r="X322">
            <v>18653.16</v>
          </cell>
          <cell r="Y322">
            <v>4194.8900000000003</v>
          </cell>
          <cell r="Z322" t="str">
            <v>Employee Expenses</v>
          </cell>
        </row>
        <row r="323">
          <cell r="A323" t="str">
            <v>China</v>
          </cell>
          <cell r="B323" t="str">
            <v>Country</v>
          </cell>
          <cell r="C323" t="str">
            <v>PCI Sales Ovh</v>
          </cell>
          <cell r="D323" t="str">
            <v>COMMISSIONS</v>
          </cell>
          <cell r="E323" t="str">
            <v>COMMISSIONS</v>
          </cell>
          <cell r="V323">
            <v>-138.36000000000001</v>
          </cell>
          <cell r="W323">
            <v>138.36000000000001</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2317.9699999999998</v>
          </cell>
          <cell r="W334">
            <v>-2317.9699999999998</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4772.3599999999997</v>
          </cell>
          <cell r="W336">
            <v>-4343.5200000000004</v>
          </cell>
          <cell r="X336">
            <v>4647.2700000000004</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1093.5899999999999</v>
          </cell>
          <cell r="R338">
            <v>1093.5899999999999</v>
          </cell>
          <cell r="S338">
            <v>0</v>
          </cell>
          <cell r="T338">
            <v>1093.5899999999999</v>
          </cell>
          <cell r="U338">
            <v>1098.3900000000001</v>
          </cell>
          <cell r="V338">
            <v>5923.24</v>
          </cell>
          <cell r="W338">
            <v>-4824.8500000000004</v>
          </cell>
          <cell r="X338">
            <v>5784.37</v>
          </cell>
          <cell r="Y338">
            <v>1093.5899999999999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292.72000000000003</v>
          </cell>
          <cell r="W343">
            <v>-292.72000000000003</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4703.6000000000004</v>
          </cell>
          <cell r="W344">
            <v>-3769.91</v>
          </cell>
          <cell r="X344">
            <v>4594.9799999999996</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13274.419999999998</v>
          </cell>
          <cell r="Z345" t="str">
            <v>Services</v>
          </cell>
        </row>
        <row r="346">
          <cell r="A346" t="str">
            <v>China</v>
          </cell>
          <cell r="B346" t="str">
            <v>Country</v>
          </cell>
          <cell r="C346" t="str">
            <v>PCI Sales Ovh</v>
          </cell>
          <cell r="D346" t="str">
            <v>PUBLIC_AFFAIRS</v>
          </cell>
          <cell r="E346" t="str">
            <v>PUBLIC_RELATION</v>
          </cell>
          <cell r="V346">
            <v>22906.639999999999</v>
          </cell>
          <cell r="W346">
            <v>-22906.639999999999</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11874.369999999999</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81397.149999999994</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4050.0199999999995</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333201.59999999998</v>
          </cell>
          <cell r="W357">
            <v>-330151.56</v>
          </cell>
          <cell r="X357">
            <v>323589.03000000003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266.79000000000002</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18.100000000000001</v>
          </cell>
          <cell r="R364">
            <v>54.3</v>
          </cell>
          <cell r="S364">
            <v>0</v>
          </cell>
          <cell r="T364">
            <v>54.3</v>
          </cell>
          <cell r="U364">
            <v>54.63</v>
          </cell>
          <cell r="V364">
            <v>155.30000000000001</v>
          </cell>
          <cell r="W364">
            <v>-100.67</v>
          </cell>
          <cell r="X364">
            <v>151.72999999999999</v>
          </cell>
          <cell r="Y364">
            <v>54.300000000000004</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-5131.4799999999996</v>
          </cell>
          <cell r="X366">
            <v>6349.46</v>
          </cell>
          <cell r="Y366">
            <v>1358.1399999999999</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1280.1099999999999</v>
          </cell>
          <cell r="W367">
            <v>-893.43</v>
          </cell>
          <cell r="X367">
            <v>1250.6300000000001</v>
          </cell>
          <cell r="Y367">
            <v>384.40999999999997</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10028384.279999999</v>
          </cell>
          <cell r="T368">
            <v>-10028384.279999999</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547645.56000000006</v>
          </cell>
          <cell r="T370">
            <v>-547645.56000000006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-26351.040000000001</v>
          </cell>
          <cell r="T372">
            <v>26351.040000000001</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19035.009999999998</v>
          </cell>
          <cell r="R381">
            <v>57132.24</v>
          </cell>
          <cell r="S381">
            <v>0</v>
          </cell>
          <cell r="T381">
            <v>57132.24</v>
          </cell>
          <cell r="U381">
            <v>57000</v>
          </cell>
          <cell r="V381">
            <v>228000</v>
          </cell>
          <cell r="W381">
            <v>-171000</v>
          </cell>
          <cell r="X381">
            <v>226919</v>
          </cell>
          <cell r="Y381">
            <v>57132.239999999991</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-2.6699999999982538</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261810.86999999997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-1.0100000000002183</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-5.999999999994543E-2</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-0.46000000000003638</v>
          </cell>
          <cell r="Z390" t="str">
            <v>Services</v>
          </cell>
        </row>
        <row r="391">
          <cell r="A391" t="str">
            <v>Hong Kong</v>
          </cell>
          <cell r="B391" t="str">
            <v>Country</v>
          </cell>
          <cell r="C391" t="str">
            <v>PCI Sales Ovh</v>
          </cell>
          <cell r="D391" t="str">
            <v>PLANT</v>
          </cell>
          <cell r="E391" t="str">
            <v>PLANT_MANUFACTURING</v>
          </cell>
          <cell r="F391">
            <v>-3973.12</v>
          </cell>
          <cell r="G391">
            <v>-1238.3499999999999</v>
          </cell>
          <cell r="H391">
            <v>5211.93</v>
          </cell>
          <cell r="R391">
            <v>0.46</v>
          </cell>
          <cell r="S391">
            <v>0</v>
          </cell>
          <cell r="T391">
            <v>0.46</v>
          </cell>
          <cell r="U391">
            <v>0</v>
          </cell>
          <cell r="W391">
            <v>0</v>
          </cell>
          <cell r="Y391">
            <v>0.46000000000094587</v>
          </cell>
          <cell r="Z391" t="str">
            <v>Services</v>
          </cell>
        </row>
        <row r="392">
          <cell r="A392" t="str">
            <v>Hong Kong</v>
          </cell>
          <cell r="B392" t="str">
            <v>Country</v>
          </cell>
          <cell r="C392" t="str">
            <v/>
          </cell>
          <cell r="D392" t="str">
            <v>EMIT</v>
          </cell>
          <cell r="E392" t="str">
            <v>SERVICE_EMIT</v>
          </cell>
          <cell r="F392">
            <v>-119301.54</v>
          </cell>
          <cell r="G392">
            <v>-292546.2</v>
          </cell>
          <cell r="H392">
            <v>160151.85999999999</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-62634.590000000004</v>
          </cell>
          <cell r="Z393" t="str">
            <v>Services</v>
          </cell>
        </row>
        <row r="394">
          <cell r="A394" t="str">
            <v>Hong Kong</v>
          </cell>
          <cell r="B394" t="str">
            <v>Country</v>
          </cell>
          <cell r="C394" t="str">
            <v/>
          </cell>
          <cell r="D394" t="str">
            <v>HR</v>
          </cell>
          <cell r="E394" t="str">
            <v>SERVICE_HR</v>
          </cell>
          <cell r="F394">
            <v>-5385.81</v>
          </cell>
          <cell r="G394">
            <v>-29250.19</v>
          </cell>
          <cell r="H394">
            <v>34626.019999999997</v>
          </cell>
          <cell r="R394">
            <v>-9.98</v>
          </cell>
          <cell r="S394">
            <v>0</v>
          </cell>
          <cell r="T394">
            <v>-9.98</v>
          </cell>
          <cell r="U394">
            <v>0</v>
          </cell>
          <cell r="W394">
            <v>0</v>
          </cell>
          <cell r="Y394">
            <v>-9.9800000000032014</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-10082.969999999999</v>
          </cell>
          <cell r="S395">
            <v>0</v>
          </cell>
          <cell r="T395">
            <v>-10082.969999999999</v>
          </cell>
          <cell r="U395">
            <v>-10063.81</v>
          </cell>
          <cell r="W395">
            <v>-10063.81</v>
          </cell>
          <cell r="Y395">
            <v>-10082.970000000001</v>
          </cell>
          <cell r="Z395" t="str">
            <v>Services</v>
          </cell>
        </row>
        <row r="396">
          <cell r="A396" t="str">
            <v>Hong Kong</v>
          </cell>
          <cell r="B396" t="str">
            <v>Country</v>
          </cell>
          <cell r="C396" t="str">
            <v/>
          </cell>
          <cell r="D396" t="str">
            <v>PUBLIC_AFFAIRS</v>
          </cell>
          <cell r="E396" t="str">
            <v>SERVICE_PUBLIC_AFFAI</v>
          </cell>
          <cell r="F396">
            <v>-1995.91</v>
          </cell>
          <cell r="G396">
            <v>-2259.4499999999998</v>
          </cell>
          <cell r="H396">
            <v>4255.1899999999996</v>
          </cell>
          <cell r="R396">
            <v>-0.17</v>
          </cell>
          <cell r="S396">
            <v>0</v>
          </cell>
          <cell r="T396">
            <v>-0.17</v>
          </cell>
          <cell r="U396">
            <v>0</v>
          </cell>
          <cell r="W396">
            <v>0</v>
          </cell>
          <cell r="Y396">
            <v>-0.17000000000007276</v>
          </cell>
          <cell r="Z396" t="str">
            <v>Services</v>
          </cell>
        </row>
        <row r="397">
          <cell r="A397" t="str">
            <v>Hong Kong</v>
          </cell>
          <cell r="B397" t="str">
            <v>Country</v>
          </cell>
          <cell r="C397" t="str">
            <v/>
          </cell>
          <cell r="D397" t="str">
            <v>LEGAL</v>
          </cell>
          <cell r="E397" t="str">
            <v>SERVICE_LEGAL</v>
          </cell>
          <cell r="F397">
            <v>-3576.23</v>
          </cell>
          <cell r="G397">
            <v>-9186.2800000000007</v>
          </cell>
          <cell r="H397">
            <v>12760.09</v>
          </cell>
          <cell r="R397">
            <v>-2.42</v>
          </cell>
          <cell r="S397">
            <v>0</v>
          </cell>
          <cell r="T397">
            <v>-2.42</v>
          </cell>
          <cell r="U397">
            <v>0</v>
          </cell>
          <cell r="W397">
            <v>0</v>
          </cell>
          <cell r="Y397">
            <v>-2.4200000000000728</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9.9999999999909051E-3</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-0.18000000000029104</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-1.0299999999997453</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2069.7600000000002</v>
          </cell>
          <cell r="I401">
            <v>240.62</v>
          </cell>
          <cell r="R401">
            <v>6076.91</v>
          </cell>
          <cell r="S401">
            <v>0</v>
          </cell>
          <cell r="T401">
            <v>6076.91</v>
          </cell>
          <cell r="U401">
            <v>8229.67</v>
          </cell>
          <cell r="V401">
            <v>51138.95</v>
          </cell>
          <cell r="W401">
            <v>-42909.279999999999</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614.08000000000004</v>
          </cell>
          <cell r="H402">
            <v>3585.31</v>
          </cell>
          <cell r="I402">
            <v>1423.76</v>
          </cell>
          <cell r="R402">
            <v>5805.53</v>
          </cell>
          <cell r="S402">
            <v>0</v>
          </cell>
          <cell r="T402">
            <v>5805.53</v>
          </cell>
          <cell r="U402">
            <v>7855.36</v>
          </cell>
          <cell r="V402">
            <v>17221.28</v>
          </cell>
          <cell r="W402">
            <v>-9365.92</v>
          </cell>
          <cell r="X402">
            <v>21089.919999999998</v>
          </cell>
          <cell r="Y402">
            <v>4381.7700000000004</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586.80999999999995</v>
          </cell>
          <cell r="G404">
            <v>269.33</v>
          </cell>
          <cell r="R404">
            <v>856.14</v>
          </cell>
          <cell r="S404">
            <v>0</v>
          </cell>
          <cell r="T404">
            <v>856.14</v>
          </cell>
          <cell r="U404">
            <v>1148</v>
          </cell>
          <cell r="V404">
            <v>13176.49</v>
          </cell>
          <cell r="W404">
            <v>-12028.49</v>
          </cell>
          <cell r="X404">
            <v>14860.65</v>
          </cell>
          <cell r="Y404">
            <v>856.13999999999987</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67.930000000000007</v>
          </cell>
          <cell r="H408">
            <v>171.49</v>
          </cell>
          <cell r="R408">
            <v>239.42</v>
          </cell>
          <cell r="S408">
            <v>0</v>
          </cell>
          <cell r="T408">
            <v>239.42</v>
          </cell>
          <cell r="U408">
            <v>320.58</v>
          </cell>
          <cell r="W408">
            <v>320.58</v>
          </cell>
          <cell r="Y408">
            <v>239.42000000000002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16.760000000000002</v>
          </cell>
          <cell r="G411">
            <v>78.89</v>
          </cell>
          <cell r="H411">
            <v>132.03</v>
          </cell>
          <cell r="R411">
            <v>227.68</v>
          </cell>
          <cell r="S411">
            <v>0</v>
          </cell>
          <cell r="T411">
            <v>227.68</v>
          </cell>
          <cell r="U411">
            <v>285.35000000000002</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-40340.660000000003</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1182.3599999999999</v>
          </cell>
          <cell r="H414">
            <v>4802.37</v>
          </cell>
          <cell r="I414">
            <v>1415.01</v>
          </cell>
          <cell r="R414">
            <v>8749.7999999999993</v>
          </cell>
          <cell r="S414">
            <v>0</v>
          </cell>
          <cell r="T414">
            <v>8749.7999999999993</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17415.919999999998</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-4108.3900000000003</v>
          </cell>
          <cell r="H418">
            <v>341.7</v>
          </cell>
          <cell r="R418">
            <v>686.59</v>
          </cell>
          <cell r="S418">
            <v>0</v>
          </cell>
          <cell r="T418">
            <v>686.59</v>
          </cell>
          <cell r="U418">
            <v>929.12</v>
          </cell>
          <cell r="V418">
            <v>4516.21</v>
          </cell>
          <cell r="W418">
            <v>-3587.09</v>
          </cell>
          <cell r="X418">
            <v>5345.21</v>
          </cell>
          <cell r="Y418">
            <v>686.58999999999946</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-144.77000000000001</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1222.6600000000001</v>
          </cell>
          <cell r="W422">
            <v>-1222.6600000000001</v>
          </cell>
          <cell r="X422">
            <v>1222.6600000000001</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-35630.230000000003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63967.040000000001</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2188.0700000000002</v>
          </cell>
          <cell r="V425">
            <v>46336.39</v>
          </cell>
          <cell r="W425">
            <v>-44148.32</v>
          </cell>
          <cell r="X425">
            <v>52007.99</v>
          </cell>
          <cell r="Y425">
            <v>4604.1100000000006</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5035.1499999999996</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266.29000000000002</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-217.03000000000003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9.8000000000000007</v>
          </cell>
          <cell r="W437">
            <v>-9.8000000000000007</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16889.810000000001</v>
          </cell>
          <cell r="G438">
            <v>8725.81</v>
          </cell>
          <cell r="H438">
            <v>4654.3599999999997</v>
          </cell>
          <cell r="I438">
            <v>4757.28</v>
          </cell>
          <cell r="R438">
            <v>35027.26</v>
          </cell>
          <cell r="S438">
            <v>0</v>
          </cell>
          <cell r="T438">
            <v>35027.26</v>
          </cell>
          <cell r="U438">
            <v>47307.77</v>
          </cell>
          <cell r="V438">
            <v>111272.14</v>
          </cell>
          <cell r="W438">
            <v>-63964.37</v>
          </cell>
          <cell r="X438">
            <v>129419.37</v>
          </cell>
          <cell r="Y438">
            <v>30269.980000000003</v>
          </cell>
          <cell r="Z438" t="str">
            <v>Other Direct Opex</v>
          </cell>
        </row>
        <row r="439">
          <cell r="A439" t="str">
            <v>Indonesia</v>
          </cell>
          <cell r="B439" t="str">
            <v>Country</v>
          </cell>
          <cell r="C439" t="str">
            <v>PCI Sales Ovh</v>
          </cell>
          <cell r="D439" t="str">
            <v>PRODUCT_STORAGE&amp;HAND</v>
          </cell>
          <cell r="E439" t="str">
            <v>STOREHOUSE</v>
          </cell>
          <cell r="V439">
            <v>557.54999999999995</v>
          </cell>
          <cell r="W439">
            <v>-557.54999999999995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534.94000000000005</v>
          </cell>
          <cell r="G441">
            <v>4674.01</v>
          </cell>
          <cell r="H441">
            <v>2317.8200000000002</v>
          </cell>
          <cell r="R441">
            <v>7526.77</v>
          </cell>
          <cell r="S441">
            <v>0</v>
          </cell>
          <cell r="T441">
            <v>7526.77</v>
          </cell>
          <cell r="U441">
            <v>10095.120000000001</v>
          </cell>
          <cell r="V441">
            <v>36281.949999999997</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1083.8900000000001</v>
          </cell>
          <cell r="S442">
            <v>0</v>
          </cell>
          <cell r="T442">
            <v>1083.8900000000001</v>
          </cell>
          <cell r="U442">
            <v>1359.67</v>
          </cell>
          <cell r="V442">
            <v>12969.77</v>
          </cell>
          <cell r="W442">
            <v>-11610.1</v>
          </cell>
          <cell r="X442">
            <v>14481.73</v>
          </cell>
          <cell r="Y442">
            <v>1083.8900000000001</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-2075.5500000000002</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-279.39999999999998</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-133166.32999999999</v>
          </cell>
          <cell r="V446">
            <v>-330426.65000000002</v>
          </cell>
          <cell r="W446">
            <v>197260.32</v>
          </cell>
          <cell r="X446">
            <v>-386560.99</v>
          </cell>
          <cell r="Y446">
            <v>-99044.790000000008</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-9389.2999999999993</v>
          </cell>
          <cell r="X447">
            <v>8653.25</v>
          </cell>
          <cell r="Y447">
            <v>-1381.81</v>
          </cell>
          <cell r="Z447" t="str">
            <v>Other Direct Opex</v>
          </cell>
        </row>
        <row r="448">
          <cell r="A448" t="str">
            <v>Indonesia</v>
          </cell>
          <cell r="B448" t="str">
            <v>Country</v>
          </cell>
          <cell r="C448" t="str">
            <v/>
          </cell>
          <cell r="D448" t="str">
            <v>EMPLOYEE</v>
          </cell>
          <cell r="E448" t="str">
            <v>SWB</v>
          </cell>
          <cell r="F448">
            <v>10260.780000000001</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-81078.740000000005</v>
          </cell>
          <cell r="X448">
            <v>166842.39000000001</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141701.76000000001</v>
          </cell>
          <cell r="T449">
            <v>-140332.6</v>
          </cell>
          <cell r="U449">
            <v>1838.12</v>
          </cell>
          <cell r="V449">
            <v>59281.01</v>
          </cell>
          <cell r="W449">
            <v>-57442.89</v>
          </cell>
          <cell r="X449">
            <v>70935.820000000007</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1171.6300000000001</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-30527.509999999995</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4902.2299999999996</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4587.0600000000004</v>
          </cell>
          <cell r="X457">
            <v>4328.8599999999997</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-10076.200000000001</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36.770000000000003</v>
          </cell>
          <cell r="R462">
            <v>129.88</v>
          </cell>
          <cell r="S462">
            <v>0</v>
          </cell>
          <cell r="T462">
            <v>129.88</v>
          </cell>
          <cell r="U462">
            <v>174.09</v>
          </cell>
          <cell r="V462">
            <v>1133.47</v>
          </cell>
          <cell r="W462">
            <v>-959.38</v>
          </cell>
          <cell r="X462">
            <v>1263.3499999999999</v>
          </cell>
          <cell r="Y462">
            <v>129.88</v>
          </cell>
          <cell r="Z462" t="str">
            <v>Services</v>
          </cell>
        </row>
        <row r="463">
          <cell r="A463" t="str">
            <v>Indonesia</v>
          </cell>
          <cell r="B463" t="str">
            <v>Country</v>
          </cell>
          <cell r="C463" t="str">
            <v/>
          </cell>
          <cell r="D463" t="str">
            <v>SALES</v>
          </cell>
          <cell r="E463" t="str">
            <v>SALES_SALES_FORCE</v>
          </cell>
          <cell r="F463">
            <v>-7639.49</v>
          </cell>
          <cell r="G463">
            <v>-5035.8500000000004</v>
          </cell>
          <cell r="H463">
            <v>-11927.65</v>
          </cell>
          <cell r="R463">
            <v>-24602.99</v>
          </cell>
          <cell r="S463">
            <v>0</v>
          </cell>
          <cell r="T463">
            <v>-24602.99</v>
          </cell>
          <cell r="U463">
            <v>-33753.410000000003</v>
          </cell>
          <cell r="V463">
            <v>-335700.34</v>
          </cell>
          <cell r="W463">
            <v>301946.93</v>
          </cell>
          <cell r="X463">
            <v>-384310.75</v>
          </cell>
          <cell r="Y463">
            <v>-24602.989999999998</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-9389.2999999999993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37410.480000000003</v>
          </cell>
          <cell r="H465">
            <v>41748.129999999997</v>
          </cell>
          <cell r="R465">
            <v>116992.39</v>
          </cell>
          <cell r="S465">
            <v>0</v>
          </cell>
          <cell r="T465">
            <v>116992.39</v>
          </cell>
          <cell r="U465">
            <v>133664.67000000001</v>
          </cell>
          <cell r="V465">
            <v>430338.67</v>
          </cell>
          <cell r="W465">
            <v>-296674</v>
          </cell>
          <cell r="X465">
            <v>480856.29</v>
          </cell>
          <cell r="Y465">
            <v>116992.39000000001</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20967.310000000001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24488.720000000001</v>
          </cell>
          <cell r="Y468">
            <v>0</v>
          </cell>
          <cell r="Z468" t="str">
            <v>Employee Expenses</v>
          </cell>
        </row>
        <row r="469">
          <cell r="A469" t="str">
            <v>India</v>
          </cell>
          <cell r="B469" t="str">
            <v>Country</v>
          </cell>
          <cell r="C469" t="str">
            <v>Automotive Sales</v>
          </cell>
          <cell r="D469" t="str">
            <v>EMPLOYEE</v>
          </cell>
          <cell r="E469" t="str">
            <v>PENSION</v>
          </cell>
          <cell r="F469">
            <v>2292.0300000000002</v>
          </cell>
          <cell r="G469">
            <v>2209.37</v>
          </cell>
          <cell r="H469">
            <v>31348.14</v>
          </cell>
          <cell r="R469">
            <v>35849.54</v>
          </cell>
          <cell r="S469">
            <v>0</v>
          </cell>
          <cell r="T469">
            <v>35849.54</v>
          </cell>
          <cell r="U469">
            <v>40965.68</v>
          </cell>
          <cell r="V469">
            <v>41111.129999999997</v>
          </cell>
          <cell r="W469">
            <v>-145.44999999999999</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72309.919999999998</v>
          </cell>
          <cell r="G472">
            <v>71687.520000000004</v>
          </cell>
          <cell r="H472">
            <v>75844.41</v>
          </cell>
          <cell r="R472">
            <v>219841.85</v>
          </cell>
          <cell r="S472">
            <v>0</v>
          </cell>
          <cell r="T472">
            <v>219841.85</v>
          </cell>
          <cell r="U472">
            <v>253419.33</v>
          </cell>
          <cell r="V472">
            <v>855782.51</v>
          </cell>
          <cell r="W472">
            <v>-602363.18000000005</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75.069999999999993</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288.60000000000002</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18.600000000000001</v>
          </cell>
          <cell r="R476">
            <v>62.15</v>
          </cell>
          <cell r="S476">
            <v>0</v>
          </cell>
          <cell r="T476">
            <v>62.15</v>
          </cell>
          <cell r="U476">
            <v>71.92</v>
          </cell>
          <cell r="V476">
            <v>525.72</v>
          </cell>
          <cell r="W476">
            <v>-453.8</v>
          </cell>
          <cell r="X476">
            <v>584.29999999999995</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1062.6099999999999</v>
          </cell>
          <cell r="W478">
            <v>-1062.6099999999999</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2085.5300000000002</v>
          </cell>
          <cell r="G479">
            <v>8639.31</v>
          </cell>
          <cell r="H479">
            <v>2.04</v>
          </cell>
          <cell r="R479">
            <v>10726.88</v>
          </cell>
          <cell r="S479">
            <v>0</v>
          </cell>
          <cell r="T479">
            <v>10726.88</v>
          </cell>
          <cell r="U479">
            <v>9969.08</v>
          </cell>
          <cell r="V479">
            <v>-90156.09</v>
          </cell>
          <cell r="W479">
            <v>100125.17</v>
          </cell>
          <cell r="X479">
            <v>-104584.82</v>
          </cell>
          <cell r="Y479">
            <v>10726.880000000001</v>
          </cell>
          <cell r="Z479" t="str">
            <v>Other Direct Opex</v>
          </cell>
        </row>
        <row r="480">
          <cell r="A480" t="str">
            <v>India</v>
          </cell>
          <cell r="B480" t="str">
            <v>Country</v>
          </cell>
          <cell r="C480" t="str">
            <v>Automotive Sales</v>
          </cell>
          <cell r="D480" t="str">
            <v>EMIT</v>
          </cell>
          <cell r="E480" t="str">
            <v>SYSTEMS</v>
          </cell>
          <cell r="H480">
            <v>33.090000000000003</v>
          </cell>
          <cell r="R480">
            <v>33.090000000000003</v>
          </cell>
          <cell r="S480">
            <v>0</v>
          </cell>
          <cell r="T480">
            <v>33.090000000000003</v>
          </cell>
          <cell r="U480">
            <v>37.81</v>
          </cell>
          <cell r="W480">
            <v>37.81</v>
          </cell>
          <cell r="Y480">
            <v>33.090000000000003</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538.07000000000005</v>
          </cell>
          <cell r="W482">
            <v>-538.07000000000005</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1089.5999999999999</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18662.560000000001</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2229.6999999999998</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1045.1199999999999</v>
          </cell>
          <cell r="H489">
            <v>14726.35</v>
          </cell>
          <cell r="R489">
            <v>16855.689999999999</v>
          </cell>
          <cell r="S489">
            <v>0</v>
          </cell>
          <cell r="T489">
            <v>16855.689999999999</v>
          </cell>
          <cell r="U489">
            <v>19261.2</v>
          </cell>
          <cell r="V489">
            <v>18067.900000000001</v>
          </cell>
          <cell r="W489">
            <v>1193.3</v>
          </cell>
          <cell r="X489">
            <v>20580.03</v>
          </cell>
          <cell r="Y489">
            <v>16855.690000000002</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4.5199999999999996</v>
          </cell>
          <cell r="S491">
            <v>0</v>
          </cell>
          <cell r="T491">
            <v>4.5199999999999996</v>
          </cell>
          <cell r="U491">
            <v>5.18</v>
          </cell>
          <cell r="V491">
            <v>314.08</v>
          </cell>
          <cell r="W491">
            <v>-308.89999999999998</v>
          </cell>
          <cell r="X491">
            <v>350.57</v>
          </cell>
          <cell r="Y491">
            <v>4.5199999999999996</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-19.309999999999999</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1186.9000000000001</v>
          </cell>
          <cell r="S501">
            <v>0</v>
          </cell>
          <cell r="T501">
            <v>1186.9000000000001</v>
          </cell>
          <cell r="U501">
            <v>1355.82</v>
          </cell>
          <cell r="V501">
            <v>3397.36</v>
          </cell>
          <cell r="W501">
            <v>-2041.54</v>
          </cell>
          <cell r="X501">
            <v>3750.38</v>
          </cell>
          <cell r="Y501">
            <v>1186.9000000000001</v>
          </cell>
          <cell r="Z501" t="str">
            <v>Other Direct Opex</v>
          </cell>
        </row>
        <row r="502">
          <cell r="A502" t="str">
            <v>India</v>
          </cell>
          <cell r="B502" t="str">
            <v>Country</v>
          </cell>
          <cell r="C502" t="str">
            <v>Field Engineering Su</v>
          </cell>
          <cell r="D502" t="str">
            <v>EMPLOYEE</v>
          </cell>
          <cell r="E502" t="str">
            <v>SWB</v>
          </cell>
          <cell r="F502">
            <v>10149.290000000001</v>
          </cell>
          <cell r="G502">
            <v>9518.5</v>
          </cell>
          <cell r="H502">
            <v>13854.45</v>
          </cell>
          <cell r="R502">
            <v>33522.239999999998</v>
          </cell>
          <cell r="S502">
            <v>0</v>
          </cell>
          <cell r="T502">
            <v>33522.239999999998</v>
          </cell>
          <cell r="U502">
            <v>38288.639999999999</v>
          </cell>
          <cell r="V502">
            <v>115899.4</v>
          </cell>
          <cell r="W502">
            <v>-77610.759999999995</v>
          </cell>
          <cell r="X502">
            <v>129615.2</v>
          </cell>
          <cell r="Y502">
            <v>33522.240000000005</v>
          </cell>
          <cell r="Z502" t="str">
            <v>Employee Expenses</v>
          </cell>
        </row>
        <row r="503">
          <cell r="A503" t="str">
            <v>India</v>
          </cell>
          <cell r="B503" t="str">
            <v>Country</v>
          </cell>
          <cell r="C503" t="str">
            <v>Field Engineering Su</v>
          </cell>
          <cell r="D503" t="str">
            <v>EMPLOYEE</v>
          </cell>
          <cell r="E503" t="str">
            <v>T&amp;E</v>
          </cell>
          <cell r="F503">
            <v>5205.6099999999997</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4120.9399999999996</v>
          </cell>
          <cell r="R504">
            <v>4120.9399999999996</v>
          </cell>
          <cell r="S504">
            <v>0</v>
          </cell>
          <cell r="T504">
            <v>4120.9399999999996</v>
          </cell>
          <cell r="U504">
            <v>4709.4399999999996</v>
          </cell>
          <cell r="V504">
            <v>2303.56</v>
          </cell>
          <cell r="W504">
            <v>2405.88</v>
          </cell>
          <cell r="X504">
            <v>2546.67</v>
          </cell>
          <cell r="Y504">
            <v>4120.9399999999996</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1074.6199999999999</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554.83000000000004</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-8694.9500000000007</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12.530000000000001</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28999.839999999997</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1279.6300000000001</v>
          </cell>
          <cell r="H513">
            <v>1709.68</v>
          </cell>
          <cell r="R513">
            <v>4305.6499999999996</v>
          </cell>
          <cell r="S513">
            <v>0</v>
          </cell>
          <cell r="T513">
            <v>4305.6499999999996</v>
          </cell>
          <cell r="U513">
            <v>4918.76</v>
          </cell>
          <cell r="V513">
            <v>22562.49</v>
          </cell>
          <cell r="W513">
            <v>-17643.73</v>
          </cell>
          <cell r="X513">
            <v>25318.14</v>
          </cell>
          <cell r="Y513">
            <v>4305.6500000000005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632.32000000000005</v>
          </cell>
          <cell r="S514">
            <v>0</v>
          </cell>
          <cell r="T514">
            <v>632.32000000000005</v>
          </cell>
          <cell r="U514">
            <v>730.19</v>
          </cell>
          <cell r="V514">
            <v>2904.93</v>
          </cell>
          <cell r="W514">
            <v>-2174.7399999999998</v>
          </cell>
          <cell r="X514">
            <v>3220.9</v>
          </cell>
          <cell r="Y514">
            <v>632.31999999999994</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77172.490000000005</v>
          </cell>
          <cell r="S518">
            <v>0</v>
          </cell>
          <cell r="T518">
            <v>77172.490000000005</v>
          </cell>
          <cell r="U518">
            <v>88143.33</v>
          </cell>
          <cell r="V518">
            <v>318180.09000000003</v>
          </cell>
          <cell r="W518">
            <v>-230036.76</v>
          </cell>
          <cell r="X518">
            <v>355434.35</v>
          </cell>
          <cell r="Y518">
            <v>77172.490000000005</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-145585.79999999999</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10182.790000000001</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-41239.660000000003</v>
          </cell>
          <cell r="W525">
            <v>144577.79999999999</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5045.9799999999996</v>
          </cell>
          <cell r="W528">
            <v>-3904.06</v>
          </cell>
          <cell r="X528">
            <v>5613.32</v>
          </cell>
          <cell r="Y528">
            <v>1003.9399999999999</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71.680000000000007</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9712.3700000000008</v>
          </cell>
          <cell r="W531">
            <v>-6722.33</v>
          </cell>
          <cell r="X531">
            <v>10781.55</v>
          </cell>
          <cell r="Y531">
            <v>2610.8700000000003</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141.11000000000001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2324.2800000000002</v>
          </cell>
          <cell r="V534">
            <v>7072.75</v>
          </cell>
          <cell r="W534">
            <v>-4748.47</v>
          </cell>
          <cell r="X534">
            <v>7821.63</v>
          </cell>
          <cell r="Y534">
            <v>2034.6799999999998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74626.320000000007</v>
          </cell>
          <cell r="R535">
            <v>181247.15</v>
          </cell>
          <cell r="S535">
            <v>0</v>
          </cell>
          <cell r="T535">
            <v>181247.15</v>
          </cell>
          <cell r="U535">
            <v>207160.66</v>
          </cell>
          <cell r="V535">
            <v>1060821.8400000001</v>
          </cell>
          <cell r="W535">
            <v>-853661.18</v>
          </cell>
          <cell r="X535">
            <v>1189053.93</v>
          </cell>
          <cell r="Y535">
            <v>181247.15000000002</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4426.6099999999997</v>
          </cell>
          <cell r="S538">
            <v>0</v>
          </cell>
          <cell r="T538">
            <v>4426.6099999999997</v>
          </cell>
          <cell r="U538">
            <v>5027.46</v>
          </cell>
          <cell r="V538">
            <v>25148.33</v>
          </cell>
          <cell r="W538">
            <v>-20120.87</v>
          </cell>
          <cell r="X538">
            <v>27810.86</v>
          </cell>
          <cell r="Y538">
            <v>4426.6100000000006</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4211.8900000000003</v>
          </cell>
          <cell r="S539">
            <v>0</v>
          </cell>
          <cell r="T539">
            <v>4211.8900000000003</v>
          </cell>
          <cell r="U539">
            <v>4812.79</v>
          </cell>
          <cell r="V539">
            <v>5375.42</v>
          </cell>
          <cell r="W539">
            <v>-562.63</v>
          </cell>
          <cell r="X539">
            <v>6144.12</v>
          </cell>
          <cell r="Y539">
            <v>4211.8899999999994</v>
          </cell>
          <cell r="Z539" t="str">
            <v>Employee Expenses</v>
          </cell>
        </row>
        <row r="540">
          <cell r="A540" t="str">
            <v>India</v>
          </cell>
          <cell r="B540" t="str">
            <v>Country</v>
          </cell>
          <cell r="C540" t="str">
            <v>PCI Sales Ovh</v>
          </cell>
          <cell r="D540" t="str">
            <v>CONTRACTOR</v>
          </cell>
          <cell r="E540" t="str">
            <v>CONTRACTOR</v>
          </cell>
          <cell r="F540">
            <v>1077.57</v>
          </cell>
          <cell r="G540">
            <v>1032.4100000000001</v>
          </cell>
          <cell r="H540">
            <v>1123.33</v>
          </cell>
          <cell r="R540">
            <v>3233.31</v>
          </cell>
          <cell r="S540">
            <v>0</v>
          </cell>
          <cell r="T540">
            <v>3233.31</v>
          </cell>
          <cell r="U540">
            <v>3693.29</v>
          </cell>
          <cell r="V540">
            <v>16711.95</v>
          </cell>
          <cell r="W540">
            <v>-13018.66</v>
          </cell>
          <cell r="X540">
            <v>18685.240000000002</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64243.199999999997</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-9149.6200000000008</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0.28000000000000003</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34402.910000000003</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7.0000000000000007E-2</v>
          </cell>
          <cell r="S547">
            <v>0</v>
          </cell>
          <cell r="T547">
            <v>7.0000000000000007E-2</v>
          </cell>
          <cell r="U547">
            <v>0.13</v>
          </cell>
          <cell r="V547">
            <v>22.33</v>
          </cell>
          <cell r="W547">
            <v>-22.2</v>
          </cell>
          <cell r="X547">
            <v>25.15</v>
          </cell>
          <cell r="Y547">
            <v>7.0000000000000007E-2</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-46175.199999999997</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8806.1299999999992</v>
          </cell>
          <cell r="S554">
            <v>0</v>
          </cell>
          <cell r="T554">
            <v>8806.1299999999992</v>
          </cell>
          <cell r="U554">
            <v>10059.17</v>
          </cell>
          <cell r="V554">
            <v>149190.44</v>
          </cell>
          <cell r="W554">
            <v>-139131.26999999999</v>
          </cell>
          <cell r="X554">
            <v>166928.47</v>
          </cell>
          <cell r="Y554">
            <v>8806.130000000001</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70136.039999999994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603.30999999999995</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-2280.8200000000002</v>
          </cell>
          <cell r="H571">
            <v>-1993.24</v>
          </cell>
          <cell r="R571">
            <v>561.28</v>
          </cell>
          <cell r="S571">
            <v>0</v>
          </cell>
          <cell r="T571">
            <v>561.28</v>
          </cell>
          <cell r="U571">
            <v>489.09</v>
          </cell>
          <cell r="V571">
            <v>-35891.120000000003</v>
          </cell>
          <cell r="W571">
            <v>36380.21</v>
          </cell>
          <cell r="X571">
            <v>-37370.559999999998</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1104.5999999999999</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2604.5500000000002</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8418.6299999999992</v>
          </cell>
          <cell r="R579">
            <v>8418.6299999999992</v>
          </cell>
          <cell r="S579">
            <v>0</v>
          </cell>
          <cell r="T579">
            <v>8418.6299999999992</v>
          </cell>
          <cell r="U579">
            <v>8836.06</v>
          </cell>
          <cell r="V579">
            <v>15094.16</v>
          </cell>
          <cell r="W579">
            <v>-6258.1</v>
          </cell>
          <cell r="X579">
            <v>14913.09</v>
          </cell>
          <cell r="Y579">
            <v>8418.6299999999992</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17837.310000000001</v>
          </cell>
          <cell r="I580">
            <v>-27789.5</v>
          </cell>
          <cell r="R580">
            <v>34758.14</v>
          </cell>
          <cell r="S580">
            <v>0</v>
          </cell>
          <cell r="T580">
            <v>34758.14</v>
          </cell>
          <cell r="U580">
            <v>36461.699999999997</v>
          </cell>
          <cell r="V580">
            <v>265362.40000000002</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17389.560000000001</v>
          </cell>
          <cell r="H581">
            <v>16474.32</v>
          </cell>
          <cell r="R581">
            <v>50338.2</v>
          </cell>
          <cell r="S581">
            <v>0</v>
          </cell>
          <cell r="T581">
            <v>50338.2</v>
          </cell>
          <cell r="U581">
            <v>52532.91</v>
          </cell>
          <cell r="V581">
            <v>217597.43</v>
          </cell>
          <cell r="W581">
            <v>-165064.51999999999</v>
          </cell>
          <cell r="X581">
            <v>206735.76</v>
          </cell>
          <cell r="Y581">
            <v>50338.200000000004</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542833.78999999992</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33.869999999999997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-1064366.0800000001</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1048.6099999999999</v>
          </cell>
          <cell r="S587">
            <v>0</v>
          </cell>
          <cell r="T587">
            <v>1048.6099999999999</v>
          </cell>
          <cell r="U587">
            <v>1081.67</v>
          </cell>
          <cell r="V587">
            <v>4470.8</v>
          </cell>
          <cell r="W587">
            <v>-3389.13</v>
          </cell>
          <cell r="X587">
            <v>4174.4399999999996</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-302.04000000000002</v>
          </cell>
          <cell r="I589">
            <v>60.69</v>
          </cell>
          <cell r="R589">
            <v>1963.06</v>
          </cell>
          <cell r="S589">
            <v>0</v>
          </cell>
          <cell r="T589">
            <v>1963.06</v>
          </cell>
          <cell r="U589">
            <v>2051.4299999999998</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18.600000000000001</v>
          </cell>
          <cell r="H590">
            <v>18.14</v>
          </cell>
          <cell r="I590">
            <v>0.12</v>
          </cell>
          <cell r="R590">
            <v>80.33</v>
          </cell>
          <cell r="S590">
            <v>0</v>
          </cell>
          <cell r="T590">
            <v>80.33</v>
          </cell>
          <cell r="U590">
            <v>84.33</v>
          </cell>
          <cell r="V590">
            <v>77233.47</v>
          </cell>
          <cell r="W590">
            <v>-77149.14</v>
          </cell>
          <cell r="X590">
            <v>77076.28</v>
          </cell>
          <cell r="Y590">
            <v>80.210000000000008</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-149.13999999999999</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3726.1100000000006</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733.06999999999994</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79629.759999999995</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8660.0300000000007</v>
          </cell>
          <cell r="Y595">
            <v>1905.3200000000002</v>
          </cell>
          <cell r="Z595" t="str">
            <v>Other Direct Opex</v>
          </cell>
        </row>
        <row r="596">
          <cell r="A596" t="str">
            <v>Japan</v>
          </cell>
          <cell r="B596" t="str">
            <v>Country</v>
          </cell>
          <cell r="C596" t="str">
            <v>Automotive Sales</v>
          </cell>
          <cell r="D596" t="str">
            <v>GOODS</v>
          </cell>
          <cell r="E596" t="str">
            <v>EQUIPMENT&amp;FURNITURE</v>
          </cell>
          <cell r="F596">
            <v>16.190000000000001</v>
          </cell>
          <cell r="G596">
            <v>16.190000000000001</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269.16000000000003</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75.739999999999995</v>
          </cell>
          <cell r="R599">
            <v>882.79</v>
          </cell>
          <cell r="S599">
            <v>0</v>
          </cell>
          <cell r="T599">
            <v>882.79</v>
          </cell>
          <cell r="U599">
            <v>921.08</v>
          </cell>
          <cell r="V599">
            <v>3919.8</v>
          </cell>
          <cell r="W599">
            <v>-2998.72</v>
          </cell>
          <cell r="X599">
            <v>3730.63</v>
          </cell>
          <cell r="Y599">
            <v>807.05000000000007</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1178.1500000000001</v>
          </cell>
          <cell r="W600">
            <v>698.95</v>
          </cell>
          <cell r="X600">
            <v>1109.9000000000001</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1035.8599999999999</v>
          </cell>
          <cell r="H602">
            <v>591.92999999999995</v>
          </cell>
          <cell r="I602">
            <v>25.52</v>
          </cell>
          <cell r="R602">
            <v>1836.34</v>
          </cell>
          <cell r="S602">
            <v>0</v>
          </cell>
          <cell r="T602">
            <v>1836.34</v>
          </cell>
          <cell r="U602">
            <v>1946.5</v>
          </cell>
          <cell r="V602">
            <v>10071.540000000001</v>
          </cell>
          <cell r="W602">
            <v>-8125.04</v>
          </cell>
          <cell r="X602">
            <v>9442.5400000000009</v>
          </cell>
          <cell r="Y602">
            <v>1810.8199999999997</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-72773.460000000006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1006.8199999999999</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2062.9499999999998</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2583.2199999999998</v>
          </cell>
          <cell r="H611">
            <v>2583.3200000000002</v>
          </cell>
          <cell r="R611">
            <v>7749.81</v>
          </cell>
          <cell r="S611">
            <v>0</v>
          </cell>
          <cell r="T611">
            <v>7749.81</v>
          </cell>
          <cell r="U611">
            <v>8121.89</v>
          </cell>
          <cell r="V611">
            <v>25817.89</v>
          </cell>
          <cell r="W611">
            <v>-17696</v>
          </cell>
          <cell r="X611">
            <v>24525.49</v>
          </cell>
          <cell r="Y611">
            <v>7749.8099999999995</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42213.279999999999</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42971.360000000001</v>
          </cell>
          <cell r="I614">
            <v>-29014.68</v>
          </cell>
          <cell r="R614">
            <v>64885.99</v>
          </cell>
          <cell r="S614">
            <v>0</v>
          </cell>
          <cell r="T614">
            <v>64885.99</v>
          </cell>
          <cell r="U614">
            <v>67472.210000000006</v>
          </cell>
          <cell r="V614">
            <v>346508.36</v>
          </cell>
          <cell r="W614">
            <v>-279036.15000000002</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-258.41000000000003</v>
          </cell>
          <cell r="X615">
            <v>330.6</v>
          </cell>
          <cell r="Y615">
            <v>84.139999999999986</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28755.919999999998</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524932.81999999995</v>
          </cell>
          <cell r="H620">
            <v>595202.38</v>
          </cell>
          <cell r="R620">
            <v>1714705.56</v>
          </cell>
          <cell r="S620">
            <v>0</v>
          </cell>
          <cell r="T620">
            <v>1714705.56</v>
          </cell>
          <cell r="U620">
            <v>1793467.45</v>
          </cell>
          <cell r="V620">
            <v>7093765.7599999998</v>
          </cell>
          <cell r="W620">
            <v>-5300298.3099999996</v>
          </cell>
          <cell r="X620">
            <v>6727059.2800000003</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1152836.1599999999</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150806.60999999999</v>
          </cell>
          <cell r="V622">
            <v>552399.93000000005</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20259.759999999998</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8522.2199999999993</v>
          </cell>
          <cell r="S626">
            <v>0</v>
          </cell>
          <cell r="T626">
            <v>8522.2199999999993</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40273.199999999997</v>
          </cell>
          <cell r="Y627">
            <v>10982.880000000001</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56031.310000000005</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36253.339999999997</v>
          </cell>
          <cell r="W632">
            <v>-36043.339999999997</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19.739999999999998</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1225.0899999999999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4878.4399999999996</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10326.290000000001</v>
          </cell>
          <cell r="S648">
            <v>0</v>
          </cell>
          <cell r="T648">
            <v>10326.290000000001</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13728.599999999999</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41756.449999999997</v>
          </cell>
          <cell r="S650">
            <v>0</v>
          </cell>
          <cell r="T650">
            <v>41756.449999999997</v>
          </cell>
          <cell r="U650">
            <v>43615.33</v>
          </cell>
          <cell r="V650">
            <v>177911.07</v>
          </cell>
          <cell r="W650">
            <v>-134295.74</v>
          </cell>
          <cell r="X650">
            <v>169656.03</v>
          </cell>
          <cell r="Y650">
            <v>41756.450000000004</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-16.670000000000002</v>
          </cell>
          <cell r="G652">
            <v>16.670000000000002</v>
          </cell>
          <cell r="R652">
            <v>0</v>
          </cell>
          <cell r="S652">
            <v>0</v>
          </cell>
          <cell r="T652">
            <v>0</v>
          </cell>
          <cell r="U652">
            <v>0.14000000000000001</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1197.6300000000001</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32.770000000000003</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580.17999999999995</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39.369999999999997</v>
          </cell>
          <cell r="S657">
            <v>0</v>
          </cell>
          <cell r="T657">
            <v>39.369999999999997</v>
          </cell>
          <cell r="U657">
            <v>41.08</v>
          </cell>
          <cell r="V657">
            <v>363.48</v>
          </cell>
          <cell r="W657">
            <v>-322.39999999999998</v>
          </cell>
          <cell r="X657">
            <v>343.57</v>
          </cell>
          <cell r="Y657">
            <v>35.159999999999997</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40602.699999999997</v>
          </cell>
          <cell r="H665">
            <v>39718.67</v>
          </cell>
          <cell r="R665">
            <v>121883.69</v>
          </cell>
          <cell r="S665">
            <v>0</v>
          </cell>
          <cell r="T665">
            <v>121883.69</v>
          </cell>
          <cell r="U665">
            <v>127225.7</v>
          </cell>
          <cell r="V665">
            <v>533914.25</v>
          </cell>
          <cell r="W665">
            <v>-406688.55</v>
          </cell>
          <cell r="X665">
            <v>505942.98</v>
          </cell>
          <cell r="Y665">
            <v>121883.68999999999</v>
          </cell>
          <cell r="Z665" t="str">
            <v>Employee Expenses</v>
          </cell>
        </row>
        <row r="666">
          <cell r="A666" t="str">
            <v>Japan</v>
          </cell>
          <cell r="B666" t="str">
            <v>Country</v>
          </cell>
          <cell r="C666" t="str">
            <v>Industrial Sales</v>
          </cell>
          <cell r="D666" t="str">
            <v>EMPLOYEE</v>
          </cell>
          <cell r="E666" t="str">
            <v>T&amp;E</v>
          </cell>
          <cell r="F666">
            <v>4601.7700000000004</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4454.1400000000003</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34903.440000000002</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111.27000000000001</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553.66999999999996</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12608.660000000003</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1125.0999999999999</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-538.19000000000005</v>
          </cell>
          <cell r="X680">
            <v>514.92999999999995</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138.19999999999999</v>
          </cell>
          <cell r="W682">
            <v>-138.19999999999999</v>
          </cell>
          <cell r="X682">
            <v>135.02000000000001</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16.420000000000002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26.259999999999998</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601.42999999999995</v>
          </cell>
          <cell r="I692">
            <v>258.92</v>
          </cell>
          <cell r="R692">
            <v>1955.87</v>
          </cell>
          <cell r="S692">
            <v>0</v>
          </cell>
          <cell r="T692">
            <v>1955.87</v>
          </cell>
          <cell r="U692">
            <v>2022.33</v>
          </cell>
          <cell r="V692">
            <v>9087.5300000000007</v>
          </cell>
          <cell r="W692">
            <v>-7065.2</v>
          </cell>
          <cell r="X692">
            <v>8701.7800000000007</v>
          </cell>
          <cell r="Y692">
            <v>1696.9499999999998</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4970.6400000000003</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94.710000000000008</v>
          </cell>
          <cell r="Z695" t="str">
            <v>Other Direct Opex</v>
          </cell>
        </row>
        <row r="696">
          <cell r="A696" t="str">
            <v>Japan</v>
          </cell>
          <cell r="B696" t="str">
            <v>Country</v>
          </cell>
          <cell r="C696" t="str">
            <v>Sales Support Specia</v>
          </cell>
          <cell r="D696" t="str">
            <v>EMPLOYEE</v>
          </cell>
          <cell r="E696" t="str">
            <v>SWB</v>
          </cell>
          <cell r="V696">
            <v>312.91000000000003</v>
          </cell>
          <cell r="W696">
            <v>-312.91000000000003</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5173.6899999999996</v>
          </cell>
          <cell r="I697">
            <v>418.69</v>
          </cell>
          <cell r="R697">
            <v>5976.32</v>
          </cell>
          <cell r="S697">
            <v>0</v>
          </cell>
          <cell r="T697">
            <v>5976.32</v>
          </cell>
          <cell r="U697">
            <v>6278.26</v>
          </cell>
          <cell r="V697">
            <v>11834.97</v>
          </cell>
          <cell r="W697">
            <v>-5556.71</v>
          </cell>
          <cell r="X697">
            <v>11324.85</v>
          </cell>
          <cell r="Y697">
            <v>5557.6299999999992</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316583.90999999997</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38316.019999999997</v>
          </cell>
          <cell r="Y700">
            <v>9863.9599999999991</v>
          </cell>
          <cell r="Z700" t="str">
            <v>Services</v>
          </cell>
        </row>
        <row r="701">
          <cell r="A701" t="str">
            <v>Japan</v>
          </cell>
          <cell r="B701" t="str">
            <v>Country</v>
          </cell>
          <cell r="C701" t="str">
            <v>Sales Support Specia</v>
          </cell>
          <cell r="D701" t="str">
            <v>SERVICE</v>
          </cell>
          <cell r="E701" t="str">
            <v>OTHER</v>
          </cell>
          <cell r="V701">
            <v>9.9700000000000006</v>
          </cell>
          <cell r="W701">
            <v>-9.9700000000000006</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288.64999999999998</v>
          </cell>
          <cell r="G702">
            <v>49.42</v>
          </cell>
          <cell r="H702">
            <v>87.68</v>
          </cell>
          <cell r="R702">
            <v>425.75</v>
          </cell>
          <cell r="S702">
            <v>0</v>
          </cell>
          <cell r="T702">
            <v>425.75</v>
          </cell>
          <cell r="U702">
            <v>442.54</v>
          </cell>
          <cell r="V702">
            <v>1202.3900000000001</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9590372.5199999996</v>
          </cell>
          <cell r="T703">
            <v>-9610633.9900000002</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8782745.8800000008</v>
          </cell>
          <cell r="T707">
            <v>-8784581.1699999999</v>
          </cell>
          <cell r="U707">
            <v>-1954.14</v>
          </cell>
          <cell r="V707">
            <v>-68708.59</v>
          </cell>
          <cell r="W707">
            <v>66754.45</v>
          </cell>
          <cell r="X707">
            <v>-66184.820000000007</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-2468359.6800000002</v>
          </cell>
          <cell r="T709">
            <v>2468359.6800000002</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9077.4500000000007</v>
          </cell>
          <cell r="W711">
            <v>-8715.41</v>
          </cell>
          <cell r="X711">
            <v>8482.2000000000007</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9097.5400000000009</v>
          </cell>
          <cell r="R712">
            <v>39137.870000000003</v>
          </cell>
          <cell r="S712">
            <v>0</v>
          </cell>
          <cell r="T712">
            <v>39137.870000000003</v>
          </cell>
          <cell r="U712">
            <v>40731.279999999999</v>
          </cell>
          <cell r="V712">
            <v>159236.32</v>
          </cell>
          <cell r="W712">
            <v>-118505.04</v>
          </cell>
          <cell r="X712">
            <v>150214.57999999999</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47526.400000000001</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-16810.810000000001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8654.2800000000007</v>
          </cell>
          <cell r="Y718">
            <v>1087.8699999999999</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2459.8200000000002</v>
          </cell>
          <cell r="V725">
            <v>8355.2199999999993</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-8673.8799999999992</v>
          </cell>
          <cell r="H727">
            <v>-4366.3599999999997</v>
          </cell>
          <cell r="R727">
            <v>-13040.24</v>
          </cell>
          <cell r="S727">
            <v>0</v>
          </cell>
          <cell r="T727">
            <v>-13040.24</v>
          </cell>
          <cell r="U727">
            <v>-13627.7</v>
          </cell>
          <cell r="V727">
            <v>-18107.18</v>
          </cell>
          <cell r="W727">
            <v>4479.4799999999996</v>
          </cell>
          <cell r="X727">
            <v>-16415.82</v>
          </cell>
          <cell r="Y727">
            <v>-13040.239999999998</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5042.1499999999996</v>
          </cell>
          <cell r="W730">
            <v>-4795.8599999999997</v>
          </cell>
          <cell r="X730">
            <v>4844.8599999999997</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34522.949999999997</v>
          </cell>
          <cell r="W731">
            <v>-21382.880000000001</v>
          </cell>
          <cell r="X731">
            <v>50946.27</v>
          </cell>
          <cell r="Y731">
            <v>11120.560000000001</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1189.6500000000001</v>
          </cell>
          <cell r="S732">
            <v>0</v>
          </cell>
          <cell r="T732">
            <v>1189.6500000000001</v>
          </cell>
          <cell r="U732">
            <v>1406.24</v>
          </cell>
          <cell r="V732">
            <v>4540.1400000000003</v>
          </cell>
          <cell r="W732">
            <v>-3133.9</v>
          </cell>
          <cell r="X732">
            <v>6330.4</v>
          </cell>
          <cell r="Y732">
            <v>1189.6500000000001</v>
          </cell>
          <cell r="Z732" t="str">
            <v>Employee Expenses</v>
          </cell>
        </row>
        <row r="733">
          <cell r="A733" t="str">
            <v>South Korea</v>
          </cell>
          <cell r="B733" t="str">
            <v>Country</v>
          </cell>
          <cell r="C733" t="str">
            <v>Automotive Sales</v>
          </cell>
          <cell r="D733" t="str">
            <v>CONTRACTOR</v>
          </cell>
          <cell r="E733" t="str">
            <v>CONTRACTOR</v>
          </cell>
          <cell r="V733">
            <v>9211.7099999999991</v>
          </cell>
          <cell r="W733">
            <v>-9211.7099999999991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4357.3599999999997</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64.209999999999994</v>
          </cell>
          <cell r="W739">
            <v>-64.209999999999994</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602.79999999999995</v>
          </cell>
          <cell r="G740">
            <v>2846.31</v>
          </cell>
          <cell r="H740">
            <v>623.16999999999996</v>
          </cell>
          <cell r="R740">
            <v>4072.28</v>
          </cell>
          <cell r="S740">
            <v>0</v>
          </cell>
          <cell r="T740">
            <v>4072.28</v>
          </cell>
          <cell r="U740">
            <v>4894.6499999999996</v>
          </cell>
          <cell r="V740">
            <v>12347.18</v>
          </cell>
          <cell r="W740">
            <v>-7452.53</v>
          </cell>
          <cell r="X740">
            <v>16831.84</v>
          </cell>
          <cell r="Y740">
            <v>4072.2799999999997</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8.6300000000000008</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150399.64000000001</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33.299999999999997</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35.369999999999997</v>
          </cell>
          <cell r="R746">
            <v>35.369999999999997</v>
          </cell>
          <cell r="S746">
            <v>0</v>
          </cell>
          <cell r="T746">
            <v>35.369999999999997</v>
          </cell>
          <cell r="U746">
            <v>41.48</v>
          </cell>
          <cell r="W746">
            <v>41.48</v>
          </cell>
          <cell r="Y746">
            <v>35.369999999999997</v>
          </cell>
          <cell r="Z746" t="str">
            <v>Other Direct Opex</v>
          </cell>
        </row>
        <row r="747">
          <cell r="A747" t="str">
            <v>South Korea</v>
          </cell>
          <cell r="B747" t="str">
            <v>Country</v>
          </cell>
          <cell r="C747" t="str">
            <v>Automotive Sales</v>
          </cell>
          <cell r="D747" t="str">
            <v>GOODS</v>
          </cell>
          <cell r="E747" t="str">
            <v>POSTAGE</v>
          </cell>
          <cell r="F747">
            <v>77.430000000000007</v>
          </cell>
          <cell r="G747">
            <v>1.77</v>
          </cell>
          <cell r="H747">
            <v>28.87</v>
          </cell>
          <cell r="R747">
            <v>108.07</v>
          </cell>
          <cell r="S747">
            <v>0</v>
          </cell>
          <cell r="T747">
            <v>108.07</v>
          </cell>
          <cell r="U747">
            <v>125.59</v>
          </cell>
          <cell r="V747">
            <v>290.04000000000002</v>
          </cell>
          <cell r="W747">
            <v>-164.45</v>
          </cell>
          <cell r="X747">
            <v>395.15</v>
          </cell>
          <cell r="Y747">
            <v>108.07000000000001</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2214.3200000000002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8434.8700000000008</v>
          </cell>
          <cell r="R751">
            <v>8434.8700000000008</v>
          </cell>
          <cell r="S751">
            <v>0</v>
          </cell>
          <cell r="T751">
            <v>8434.8700000000008</v>
          </cell>
          <cell r="U751">
            <v>10272.450000000001</v>
          </cell>
          <cell r="V751">
            <v>36257.72</v>
          </cell>
          <cell r="W751">
            <v>-25985.27</v>
          </cell>
          <cell r="X751">
            <v>51606.16</v>
          </cell>
          <cell r="Y751">
            <v>8434.8700000000008</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37.270000000000003</v>
          </cell>
          <cell r="G754">
            <v>215.35</v>
          </cell>
          <cell r="H754">
            <v>103.13</v>
          </cell>
          <cell r="R754">
            <v>355.75</v>
          </cell>
          <cell r="S754">
            <v>0</v>
          </cell>
          <cell r="T754">
            <v>355.75</v>
          </cell>
          <cell r="U754">
            <v>426.36</v>
          </cell>
          <cell r="V754">
            <v>2978.68</v>
          </cell>
          <cell r="W754">
            <v>-2552.3200000000002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-2614.2800000000002</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-4110.4799999999996</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326.91999999999996</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1901.9699999999998</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304.52999999999997</v>
          </cell>
          <cell r="G763">
            <v>1252.52</v>
          </cell>
          <cell r="H763">
            <v>2754.39</v>
          </cell>
          <cell r="R763">
            <v>4311.4399999999996</v>
          </cell>
          <cell r="S763">
            <v>0</v>
          </cell>
          <cell r="T763">
            <v>4311.4399999999996</v>
          </cell>
          <cell r="U763">
            <v>4715.67</v>
          </cell>
          <cell r="V763">
            <v>30144.49</v>
          </cell>
          <cell r="W763">
            <v>-25428.82</v>
          </cell>
          <cell r="X763">
            <v>29449.61</v>
          </cell>
          <cell r="Y763">
            <v>4311.4399999999996</v>
          </cell>
          <cell r="Z763" t="str">
            <v>T&amp;E</v>
          </cell>
        </row>
        <row r="764">
          <cell r="A764" t="str">
            <v>South Korea</v>
          </cell>
          <cell r="B764" t="str">
            <v>Country</v>
          </cell>
          <cell r="C764" t="str">
            <v>Distributor Business</v>
          </cell>
          <cell r="D764" t="str">
            <v>EMPLOYEE</v>
          </cell>
          <cell r="E764" t="str">
            <v>TRAINING</v>
          </cell>
          <cell r="V764">
            <v>4935.8100000000004</v>
          </cell>
          <cell r="W764">
            <v>-4935.8100000000004</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-22914.240000000002</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969.42000000000007</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-637.79999999999995</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66.239999999999995</v>
          </cell>
          <cell r="S774">
            <v>0</v>
          </cell>
          <cell r="T774">
            <v>66.239999999999995</v>
          </cell>
          <cell r="U774">
            <v>77.03</v>
          </cell>
          <cell r="V774">
            <v>111</v>
          </cell>
          <cell r="W774">
            <v>-33.97</v>
          </cell>
          <cell r="X774">
            <v>150.79</v>
          </cell>
          <cell r="Y774">
            <v>66.239999999999995</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308.08999999999997</v>
          </cell>
          <cell r="G776">
            <v>1850.14</v>
          </cell>
          <cell r="R776">
            <v>2158.23</v>
          </cell>
          <cell r="S776">
            <v>0</v>
          </cell>
          <cell r="T776">
            <v>2158.23</v>
          </cell>
          <cell r="U776">
            <v>2542.63</v>
          </cell>
          <cell r="V776">
            <v>22173.200000000001</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414.75000000000006</v>
          </cell>
          <cell r="Z777" t="str">
            <v>Services</v>
          </cell>
        </row>
        <row r="778">
          <cell r="A778" t="str">
            <v>South Korea</v>
          </cell>
          <cell r="B778" t="str">
            <v>Country</v>
          </cell>
          <cell r="C778" t="str">
            <v>Distributor Business</v>
          </cell>
          <cell r="D778" t="str">
            <v>LEGAL</v>
          </cell>
          <cell r="E778" t="str">
            <v>LEGAL</v>
          </cell>
          <cell r="F778">
            <v>2206.84</v>
          </cell>
          <cell r="G778">
            <v>622.07000000000005</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8683.0499999999993</v>
          </cell>
          <cell r="R782">
            <v>23701.34</v>
          </cell>
          <cell r="S782">
            <v>0</v>
          </cell>
          <cell r="T782">
            <v>23701.34</v>
          </cell>
          <cell r="U782">
            <v>27999.33</v>
          </cell>
          <cell r="V782">
            <v>94701.43</v>
          </cell>
          <cell r="W782">
            <v>-66702.100000000006</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2486.6999999999998</v>
          </cell>
          <cell r="W784">
            <v>-2144.1999999999998</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8.6300000000000008</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128.02000000000001</v>
          </cell>
          <cell r="R789">
            <v>217.33</v>
          </cell>
          <cell r="S789">
            <v>0</v>
          </cell>
          <cell r="T789">
            <v>217.33</v>
          </cell>
          <cell r="U789">
            <v>253.49</v>
          </cell>
          <cell r="V789">
            <v>614.55999999999995</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9.3000000000000007</v>
          </cell>
          <cell r="H792">
            <v>8.7200000000000006</v>
          </cell>
          <cell r="R792">
            <v>18.02</v>
          </cell>
          <cell r="S792">
            <v>0</v>
          </cell>
          <cell r="T792">
            <v>18.02</v>
          </cell>
          <cell r="U792">
            <v>17.55</v>
          </cell>
          <cell r="V792">
            <v>118.71</v>
          </cell>
          <cell r="W792">
            <v>-101.16</v>
          </cell>
          <cell r="X792">
            <v>105.05</v>
          </cell>
          <cell r="Y792">
            <v>18.020000000000003</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34.880000000000003</v>
          </cell>
          <cell r="G794">
            <v>499.91</v>
          </cell>
          <cell r="H794">
            <v>46.59</v>
          </cell>
          <cell r="R794">
            <v>581.38</v>
          </cell>
          <cell r="S794">
            <v>0</v>
          </cell>
          <cell r="T794">
            <v>581.38</v>
          </cell>
          <cell r="U794">
            <v>703.8</v>
          </cell>
          <cell r="V794">
            <v>709.25</v>
          </cell>
          <cell r="W794">
            <v>-5.45</v>
          </cell>
          <cell r="X794">
            <v>952.59</v>
          </cell>
          <cell r="Y794">
            <v>581.38000000000011</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54294.559999999998</v>
          </cell>
          <cell r="V797">
            <v>196468.14</v>
          </cell>
          <cell r="W797">
            <v>-142173.57999999999</v>
          </cell>
          <cell r="X797">
            <v>247389.53</v>
          </cell>
          <cell r="Y797">
            <v>47105.520000000004</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2229.5100000000002</v>
          </cell>
          <cell r="H800">
            <v>3584.23</v>
          </cell>
          <cell r="R800">
            <v>9181.4699999999993</v>
          </cell>
          <cell r="S800">
            <v>0</v>
          </cell>
          <cell r="T800">
            <v>9181.4699999999993</v>
          </cell>
          <cell r="U800">
            <v>10470.77</v>
          </cell>
          <cell r="V800">
            <v>25340.41</v>
          </cell>
          <cell r="W800">
            <v>-14869.64</v>
          </cell>
          <cell r="X800">
            <v>32965.33</v>
          </cell>
          <cell r="Y800">
            <v>9181.4699999999993</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1096.1600000000001</v>
          </cell>
          <cell r="S801">
            <v>0</v>
          </cell>
          <cell r="T801">
            <v>1096.1600000000001</v>
          </cell>
          <cell r="U801">
            <v>1261.43</v>
          </cell>
          <cell r="V801">
            <v>4905.1000000000004</v>
          </cell>
          <cell r="W801">
            <v>-3643.67</v>
          </cell>
          <cell r="X801">
            <v>6129.97</v>
          </cell>
          <cell r="Y801">
            <v>1096.1600000000001</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-7.0000000000000007E-2</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8.3699999999999992</v>
          </cell>
          <cell r="S805">
            <v>0</v>
          </cell>
          <cell r="T805">
            <v>8.3699999999999992</v>
          </cell>
          <cell r="U805">
            <v>8.4</v>
          </cell>
          <cell r="V805">
            <v>225.35</v>
          </cell>
          <cell r="W805">
            <v>-216.95</v>
          </cell>
          <cell r="X805">
            <v>168.21</v>
          </cell>
          <cell r="Y805">
            <v>8.3699999999999992</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35.409999999999997</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322.97000000000003</v>
          </cell>
          <cell r="R814">
            <v>904.67</v>
          </cell>
          <cell r="S814">
            <v>0</v>
          </cell>
          <cell r="T814">
            <v>904.67</v>
          </cell>
          <cell r="U814">
            <v>1052.18</v>
          </cell>
          <cell r="V814">
            <v>6844.3</v>
          </cell>
          <cell r="W814">
            <v>-5792.12</v>
          </cell>
          <cell r="X814">
            <v>9241.06</v>
          </cell>
          <cell r="Y814">
            <v>904.67000000000007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304.35000000000002</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545.19000000000005</v>
          </cell>
          <cell r="Y819">
            <v>91.11</v>
          </cell>
          <cell r="Z819" t="str">
            <v>Non Cash</v>
          </cell>
        </row>
        <row r="820">
          <cell r="A820" t="str">
            <v>South Korea</v>
          </cell>
          <cell r="B820" t="str">
            <v>Country</v>
          </cell>
          <cell r="C820" t="str">
            <v>Industrial Sales</v>
          </cell>
          <cell r="D820" t="str">
            <v>EMIT</v>
          </cell>
          <cell r="E820" t="str">
            <v>TELECOM</v>
          </cell>
          <cell r="F820">
            <v>135.13999999999999</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-1307.1400000000001</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152.83000000000001</v>
          </cell>
          <cell r="R823">
            <v>1095.79</v>
          </cell>
          <cell r="S823">
            <v>0</v>
          </cell>
          <cell r="T823">
            <v>1095.79</v>
          </cell>
          <cell r="U823">
            <v>1097.95</v>
          </cell>
          <cell r="V823">
            <v>561.62</v>
          </cell>
          <cell r="W823">
            <v>536.33000000000004</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532.79999999999995</v>
          </cell>
          <cell r="W827">
            <v>532.79999999999995</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76400.710000000006</v>
          </cell>
          <cell r="S828">
            <v>0</v>
          </cell>
          <cell r="T828">
            <v>76400.710000000006</v>
          </cell>
          <cell r="U828">
            <v>89379.23</v>
          </cell>
          <cell r="V828">
            <v>307913.93</v>
          </cell>
          <cell r="W828">
            <v>-218534.7</v>
          </cell>
          <cell r="X828">
            <v>405997.27</v>
          </cell>
          <cell r="Y828">
            <v>76400.709999999992</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18864.810000000001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-2440.6799999999998</v>
          </cell>
          <cell r="X830">
            <v>5075.5200000000004</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80284.570000000007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354.16999999999996</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-126405.75999999999</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4629.0600000000004</v>
          </cell>
          <cell r="R834">
            <v>8133.23</v>
          </cell>
          <cell r="S834">
            <v>0</v>
          </cell>
          <cell r="T834">
            <v>8133.23</v>
          </cell>
          <cell r="U834">
            <v>9483.61</v>
          </cell>
          <cell r="V834">
            <v>26805.09</v>
          </cell>
          <cell r="W834">
            <v>-17321.48</v>
          </cell>
          <cell r="X834">
            <v>36530.86</v>
          </cell>
          <cell r="Y834">
            <v>8133.2300000000005</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17.260000000000002</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10.220000000000001</v>
          </cell>
          <cell r="S840">
            <v>0</v>
          </cell>
          <cell r="T840">
            <v>10.220000000000001</v>
          </cell>
          <cell r="U840">
            <v>12.28</v>
          </cell>
          <cell r="V840">
            <v>87.62</v>
          </cell>
          <cell r="W840">
            <v>-75.34</v>
          </cell>
          <cell r="X840">
            <v>134.08000000000001</v>
          </cell>
          <cell r="Y840">
            <v>10.219999999999999</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-157.52000000000001</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613.05999999999995</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19.760000000000002</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2590.5100000000002</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566.66999999999996</v>
          </cell>
          <cell r="R856">
            <v>1978.32</v>
          </cell>
          <cell r="S856">
            <v>0</v>
          </cell>
          <cell r="T856">
            <v>1978.32</v>
          </cell>
          <cell r="U856">
            <v>2198.48</v>
          </cell>
          <cell r="V856">
            <v>18491.939999999999</v>
          </cell>
          <cell r="W856">
            <v>-16293.46</v>
          </cell>
          <cell r="X856">
            <v>16883.32</v>
          </cell>
          <cell r="Y856">
            <v>1978.3200000000002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8.3699999999999992</v>
          </cell>
          <cell r="S858">
            <v>0</v>
          </cell>
          <cell r="T858">
            <v>8.3699999999999992</v>
          </cell>
          <cell r="U858">
            <v>8.4</v>
          </cell>
          <cell r="V858">
            <v>445.65</v>
          </cell>
          <cell r="W858">
            <v>-437.25</v>
          </cell>
          <cell r="X858">
            <v>331.02</v>
          </cell>
          <cell r="Y858">
            <v>8.3699999999999992</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541.30999999999995</v>
          </cell>
          <cell r="W860">
            <v>-541.30999999999995</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10.029999999999999</v>
          </cell>
          <cell r="S862">
            <v>0</v>
          </cell>
          <cell r="T862">
            <v>10.029999999999999</v>
          </cell>
          <cell r="U862">
            <v>11.67</v>
          </cell>
          <cell r="V862">
            <v>26.43</v>
          </cell>
          <cell r="W862">
            <v>-14.76</v>
          </cell>
          <cell r="X862">
            <v>32.26</v>
          </cell>
          <cell r="Y862">
            <v>10.029999999999999</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76.400000000000006</v>
          </cell>
          <cell r="G865">
            <v>95.4</v>
          </cell>
          <cell r="H865">
            <v>68.23</v>
          </cell>
          <cell r="R865">
            <v>240.03</v>
          </cell>
          <cell r="S865">
            <v>0</v>
          </cell>
          <cell r="T865">
            <v>240.03</v>
          </cell>
          <cell r="U865">
            <v>266.75</v>
          </cell>
          <cell r="V865">
            <v>792.74</v>
          </cell>
          <cell r="W865">
            <v>-525.99</v>
          </cell>
          <cell r="X865">
            <v>761.2</v>
          </cell>
          <cell r="Y865">
            <v>240.03000000000003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152.83000000000001</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-29563.200000000001</v>
          </cell>
          <cell r="T873">
            <v>29563.200000000001</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275969.03999999998</v>
          </cell>
          <cell r="T874">
            <v>-275969.03999999998</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2527.6999999999998</v>
          </cell>
          <cell r="G879">
            <v>2929.88</v>
          </cell>
          <cell r="H879">
            <v>2929.88</v>
          </cell>
          <cell r="R879">
            <v>8387.4599999999991</v>
          </cell>
          <cell r="S879">
            <v>0</v>
          </cell>
          <cell r="T879">
            <v>8387.4599999999991</v>
          </cell>
          <cell r="U879">
            <v>9121.93</v>
          </cell>
          <cell r="V879">
            <v>64307.73</v>
          </cell>
          <cell r="W879">
            <v>-55185.8</v>
          </cell>
          <cell r="X879">
            <v>69739.06</v>
          </cell>
          <cell r="Y879">
            <v>8387.4599999999991</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1183.1199999999999</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4896.7700000000004</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314.89999999999998</v>
          </cell>
          <cell r="S884">
            <v>0</v>
          </cell>
          <cell r="T884">
            <v>314.89999999999998</v>
          </cell>
          <cell r="U884">
            <v>469.96</v>
          </cell>
          <cell r="V884">
            <v>2175.4899999999998</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18150.560000000001</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561.08000000000004</v>
          </cell>
          <cell r="W889">
            <v>-561.08000000000004</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1236.3499999999999</v>
          </cell>
          <cell r="W894">
            <v>-1236.3499999999999</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622.29999999999995</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4392.6499999999996</v>
          </cell>
          <cell r="S896">
            <v>0</v>
          </cell>
          <cell r="T896">
            <v>4392.6499999999996</v>
          </cell>
          <cell r="U896">
            <v>4776.37</v>
          </cell>
          <cell r="V896">
            <v>26525.29</v>
          </cell>
          <cell r="W896">
            <v>-21748.92</v>
          </cell>
          <cell r="X896">
            <v>28537.11</v>
          </cell>
          <cell r="Y896">
            <v>4392.6499999999996</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2178.4499999999998</v>
          </cell>
          <cell r="W898">
            <v>-2178.4499999999998</v>
          </cell>
          <cell r="X898">
            <v>2332.0100000000002</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303.77999999999997</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18834.580000000002</v>
          </cell>
          <cell r="R902">
            <v>54642.52</v>
          </cell>
          <cell r="S902">
            <v>0</v>
          </cell>
          <cell r="T902">
            <v>54642.52</v>
          </cell>
          <cell r="U902">
            <v>59405.33</v>
          </cell>
          <cell r="V902">
            <v>253089.32</v>
          </cell>
          <cell r="W902">
            <v>-193683.99</v>
          </cell>
          <cell r="X902">
            <v>271181.59999999998</v>
          </cell>
          <cell r="Y902">
            <v>54642.520000000004</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71.290000000000006</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20.440000000000001</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-18103.330000000002</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130.22999999999999</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4556.8599999999997</v>
          </cell>
          <cell r="W919">
            <v>-4556.8599999999997</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1150.3499999999999</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1330.8000000000002</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8.0399999999999991</v>
          </cell>
          <cell r="W926">
            <v>-8.0399999999999991</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148.86000000000001</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320.83999999999997</v>
          </cell>
          <cell r="H930">
            <v>45.75</v>
          </cell>
          <cell r="R930">
            <v>974.56</v>
          </cell>
          <cell r="S930">
            <v>0</v>
          </cell>
          <cell r="T930">
            <v>974.56</v>
          </cell>
          <cell r="U930">
            <v>1033.92</v>
          </cell>
          <cell r="V930">
            <v>5386.77</v>
          </cell>
          <cell r="W930">
            <v>-4352.8500000000004</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9465.8799999999992</v>
          </cell>
          <cell r="H931">
            <v>9692.98</v>
          </cell>
          <cell r="R931">
            <v>27516.54</v>
          </cell>
          <cell r="S931">
            <v>0</v>
          </cell>
          <cell r="T931">
            <v>27516.54</v>
          </cell>
          <cell r="U931">
            <v>29929.69</v>
          </cell>
          <cell r="V931">
            <v>138281.67000000001</v>
          </cell>
          <cell r="W931">
            <v>-108351.98</v>
          </cell>
          <cell r="X931">
            <v>149838.78</v>
          </cell>
          <cell r="Y931">
            <v>27516.539999999997</v>
          </cell>
          <cell r="Z931" t="str">
            <v>Employee Expenses</v>
          </cell>
        </row>
        <row r="932">
          <cell r="A932" t="str">
            <v>Malaysia</v>
          </cell>
          <cell r="B932" t="str">
            <v>Country</v>
          </cell>
          <cell r="C932" t="str">
            <v>Industrial Sales</v>
          </cell>
          <cell r="D932" t="str">
            <v>EMPLOYEE</v>
          </cell>
          <cell r="E932" t="str">
            <v>T&amp;E</v>
          </cell>
          <cell r="G932">
            <v>604.07000000000005</v>
          </cell>
          <cell r="H932">
            <v>1069.19</v>
          </cell>
          <cell r="R932">
            <v>1673.26</v>
          </cell>
          <cell r="S932">
            <v>0</v>
          </cell>
          <cell r="T932">
            <v>1673.26</v>
          </cell>
          <cell r="U932">
            <v>1812.72</v>
          </cell>
          <cell r="V932">
            <v>18769.43</v>
          </cell>
          <cell r="W932">
            <v>-16956.71</v>
          </cell>
          <cell r="X932">
            <v>20182.349999999999</v>
          </cell>
          <cell r="Y932">
            <v>1673.2600000000002</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1271.1300000000001</v>
          </cell>
          <cell r="S934">
            <v>0</v>
          </cell>
          <cell r="T934">
            <v>1271.1300000000001</v>
          </cell>
          <cell r="U934">
            <v>1386.41</v>
          </cell>
          <cell r="V934">
            <v>6144.69</v>
          </cell>
          <cell r="W934">
            <v>-4758.28</v>
          </cell>
          <cell r="X934">
            <v>6849.33</v>
          </cell>
          <cell r="Y934">
            <v>1271.1299999999999</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-286.41000000000003</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68.430000000000007</v>
          </cell>
          <cell r="Y937">
            <v>0</v>
          </cell>
          <cell r="Z937" t="str">
            <v>Other Direct Opex</v>
          </cell>
        </row>
        <row r="938">
          <cell r="A938" t="str">
            <v>Malaysia</v>
          </cell>
          <cell r="B938" t="str">
            <v>Country</v>
          </cell>
          <cell r="C938" t="str">
            <v>Industrial Sales</v>
          </cell>
          <cell r="D938" t="str">
            <v>GOODS</v>
          </cell>
          <cell r="E938" t="str">
            <v>CREDIT_CARD_PURCHASE</v>
          </cell>
          <cell r="V938">
            <v>598.54999999999995</v>
          </cell>
          <cell r="W938">
            <v>-598.54999999999995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38.229999999999997</v>
          </cell>
          <cell r="R942">
            <v>114.58</v>
          </cell>
          <cell r="S942">
            <v>0</v>
          </cell>
          <cell r="T942">
            <v>114.58</v>
          </cell>
          <cell r="U942">
            <v>124.24</v>
          </cell>
          <cell r="V942">
            <v>1060.69</v>
          </cell>
          <cell r="W942">
            <v>-936.45</v>
          </cell>
          <cell r="X942">
            <v>1151.33</v>
          </cell>
          <cell r="Y942">
            <v>114.57999999999998</v>
          </cell>
          <cell r="Z942" t="str">
            <v>Other Direct Opex</v>
          </cell>
        </row>
        <row r="943">
          <cell r="A943" t="str">
            <v>Malaysia</v>
          </cell>
          <cell r="B943" t="str">
            <v>Country</v>
          </cell>
          <cell r="C943" t="str">
            <v>Industrial Sales</v>
          </cell>
          <cell r="D943" t="str">
            <v>EMIT</v>
          </cell>
          <cell r="E943" t="str">
            <v>TELECOM</v>
          </cell>
          <cell r="G943">
            <v>132.19999999999999</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41506.620000000003</v>
          </cell>
          <cell r="S946">
            <v>0</v>
          </cell>
          <cell r="T946">
            <v>41506.620000000003</v>
          </cell>
          <cell r="U946">
            <v>45107.34</v>
          </cell>
          <cell r="V946">
            <v>143752.94</v>
          </cell>
          <cell r="W946">
            <v>-98645.6</v>
          </cell>
          <cell r="X946">
            <v>155344.54</v>
          </cell>
          <cell r="Y946">
            <v>41506.619999999995</v>
          </cell>
          <cell r="Z946" t="str">
            <v>Employee Expenses</v>
          </cell>
        </row>
        <row r="947">
          <cell r="A947" t="str">
            <v>Malaysia</v>
          </cell>
          <cell r="B947" t="str">
            <v>Country</v>
          </cell>
          <cell r="C947" t="str">
            <v>PCI Sales Ovh</v>
          </cell>
          <cell r="D947" t="str">
            <v>EMPLOYEE</v>
          </cell>
          <cell r="E947" t="str">
            <v>T&amp;E</v>
          </cell>
          <cell r="G947">
            <v>16.350000000000001</v>
          </cell>
          <cell r="I947">
            <v>1413.55</v>
          </cell>
          <cell r="R947">
            <v>1429.9</v>
          </cell>
          <cell r="S947">
            <v>0</v>
          </cell>
          <cell r="T947">
            <v>1429.9</v>
          </cell>
          <cell r="U947">
            <v>1634.54</v>
          </cell>
          <cell r="V947">
            <v>2544.3000000000002</v>
          </cell>
          <cell r="W947">
            <v>-909.76</v>
          </cell>
          <cell r="X947">
            <v>2768.49</v>
          </cell>
          <cell r="Y947">
            <v>16.350000000000001</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33918.089999999997</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-16795.849999999999</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1215.1199999999999</v>
          </cell>
          <cell r="W953">
            <v>-1215.1199999999999</v>
          </cell>
          <cell r="X953">
            <v>1306.1099999999999</v>
          </cell>
          <cell r="Y953">
            <v>0</v>
          </cell>
          <cell r="Z953" t="str">
            <v>Other Direct Opex</v>
          </cell>
        </row>
        <row r="954">
          <cell r="A954" t="str">
            <v>Malaysia</v>
          </cell>
          <cell r="B954" t="str">
            <v>Country</v>
          </cell>
          <cell r="C954" t="str">
            <v>PCI Sales Ovh</v>
          </cell>
          <cell r="D954" t="str">
            <v>GOODS</v>
          </cell>
          <cell r="E954" t="str">
            <v>CREDIT_CARD_PURCHASE</v>
          </cell>
          <cell r="F954">
            <v>296.52999999999997</v>
          </cell>
          <cell r="G954">
            <v>16.350000000000001</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159391.67999999999</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-9634.9699999999993</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-33733.440000000002</v>
          </cell>
          <cell r="T964">
            <v>33733.440000000002</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69004.320000000007</v>
          </cell>
          <cell r="T968">
            <v>-69004.320000000007</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204008.41999999998</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29475.360000000001</v>
          </cell>
          <cell r="S971">
            <v>0</v>
          </cell>
          <cell r="T971">
            <v>29475.360000000001</v>
          </cell>
          <cell r="U971">
            <v>36589.550000000003</v>
          </cell>
          <cell r="V971">
            <v>147415.04000000001</v>
          </cell>
          <cell r="W971">
            <v>-110825.49</v>
          </cell>
          <cell r="X971">
            <v>175678.2</v>
          </cell>
          <cell r="Y971">
            <v>29475.360000000001</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-4225.2700000000004</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651.66999999999996</v>
          </cell>
          <cell r="H974">
            <v>691.64</v>
          </cell>
          <cell r="R974">
            <v>1960.02</v>
          </cell>
          <cell r="S974">
            <v>0</v>
          </cell>
          <cell r="T974">
            <v>1960.02</v>
          </cell>
          <cell r="U974">
            <v>2448.0700000000002</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4590.1400000000003</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5185.2700000000004</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539.16999999999996</v>
          </cell>
          <cell r="V978">
            <v>-32968.57</v>
          </cell>
          <cell r="W978">
            <v>33507.74</v>
          </cell>
          <cell r="X978">
            <v>-33881.160000000003</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-4371.6499999999996</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1121.3900000000001</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30238.799999999999</v>
          </cell>
          <cell r="V983">
            <v>52854.34</v>
          </cell>
          <cell r="W983">
            <v>-22615.54</v>
          </cell>
          <cell r="X983">
            <v>64831.5</v>
          </cell>
          <cell r="Y983">
            <v>24650.300000000003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285.41000000000003</v>
          </cell>
          <cell r="R985">
            <v>285.41000000000003</v>
          </cell>
          <cell r="S985">
            <v>0</v>
          </cell>
          <cell r="T985">
            <v>285.41000000000003</v>
          </cell>
          <cell r="U985">
            <v>344.03</v>
          </cell>
          <cell r="W985">
            <v>344.03</v>
          </cell>
          <cell r="Y985">
            <v>285.41000000000003</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2249.9899999999998</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4218.7299999999996</v>
          </cell>
          <cell r="G992">
            <v>4777.57</v>
          </cell>
          <cell r="H992">
            <v>5463.03</v>
          </cell>
          <cell r="R992">
            <v>14459.33</v>
          </cell>
          <cell r="S992">
            <v>0</v>
          </cell>
          <cell r="T992">
            <v>14459.33</v>
          </cell>
          <cell r="U992">
            <v>18045.3</v>
          </cell>
          <cell r="V992">
            <v>24384.74</v>
          </cell>
          <cell r="W992">
            <v>-6339.44</v>
          </cell>
          <cell r="X992">
            <v>30297.24</v>
          </cell>
          <cell r="Y992">
            <v>14459.329999999998</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319.47000000000003</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631.36999999999989</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518.33000000000004</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288.60000000000002</v>
          </cell>
          <cell r="V998">
            <v>2202.13</v>
          </cell>
          <cell r="W998">
            <v>-1913.53</v>
          </cell>
          <cell r="X998">
            <v>2515.5300000000002</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1191.1400000000001</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20194.080000000002</v>
          </cell>
          <cell r="R1002">
            <v>59833.83</v>
          </cell>
          <cell r="S1002">
            <v>0</v>
          </cell>
          <cell r="T1002">
            <v>59833.83</v>
          </cell>
          <cell r="U1002">
            <v>74709.16</v>
          </cell>
          <cell r="V1002">
            <v>255988.32</v>
          </cell>
          <cell r="W1002">
            <v>-181279.16</v>
          </cell>
          <cell r="X1002">
            <v>305249.40999999997</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16696.740000000002</v>
          </cell>
          <cell r="V1003">
            <v>73164.240000000005</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4105.2700000000004</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259.58999999999997</v>
          </cell>
          <cell r="R1005">
            <v>767.55</v>
          </cell>
          <cell r="S1005">
            <v>0</v>
          </cell>
          <cell r="T1005">
            <v>767.55</v>
          </cell>
          <cell r="U1005">
            <v>958.41</v>
          </cell>
          <cell r="V1005">
            <v>3282.67</v>
          </cell>
          <cell r="W1005">
            <v>-2324.2600000000002</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-36033.519999999997</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157.80000000000001</v>
          </cell>
          <cell r="H1010">
            <v>-179.7</v>
          </cell>
          <cell r="R1010">
            <v>-15.74</v>
          </cell>
          <cell r="S1010">
            <v>0</v>
          </cell>
          <cell r="T1010">
            <v>-15.74</v>
          </cell>
          <cell r="U1010">
            <v>-3.21</v>
          </cell>
          <cell r="V1010">
            <v>366.53</v>
          </cell>
          <cell r="W1010">
            <v>-369.74</v>
          </cell>
          <cell r="X1010">
            <v>406.09</v>
          </cell>
          <cell r="Y1010">
            <v>-15.739999999999981</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-1280.5999999999999</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622.54999999999995</v>
          </cell>
          <cell r="W1012">
            <v>-622.54999999999995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294.83999999999997</v>
          </cell>
          <cell r="R1013">
            <v>705.87</v>
          </cell>
          <cell r="S1013">
            <v>0</v>
          </cell>
          <cell r="T1013">
            <v>705.87</v>
          </cell>
          <cell r="U1013">
            <v>876.29</v>
          </cell>
          <cell r="V1013">
            <v>4288.05</v>
          </cell>
          <cell r="W1013">
            <v>-3411.76</v>
          </cell>
          <cell r="X1013">
            <v>5239.49</v>
          </cell>
          <cell r="Y1013">
            <v>705.86999999999989</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9241.4599999999991</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66.680000000000007</v>
          </cell>
          <cell r="W1016">
            <v>-66.680000000000007</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-64.900000000000006</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575.95000000000005</v>
          </cell>
          <cell r="G1018">
            <v>89.72</v>
          </cell>
          <cell r="H1018">
            <v>132.53</v>
          </cell>
          <cell r="R1018">
            <v>798.2</v>
          </cell>
          <cell r="S1018">
            <v>0</v>
          </cell>
          <cell r="T1018">
            <v>798.2</v>
          </cell>
          <cell r="U1018">
            <v>990.84</v>
          </cell>
          <cell r="V1018">
            <v>3087.83</v>
          </cell>
          <cell r="W1018">
            <v>-2096.9899999999998</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-313.60000000000002</v>
          </cell>
          <cell r="G1019">
            <v>291.22000000000003</v>
          </cell>
          <cell r="R1019">
            <v>-22.38</v>
          </cell>
          <cell r="S1019">
            <v>0</v>
          </cell>
          <cell r="T1019">
            <v>-22.38</v>
          </cell>
          <cell r="U1019">
            <v>-9.1</v>
          </cell>
          <cell r="V1019">
            <v>6139.71</v>
          </cell>
          <cell r="W1019">
            <v>-6148.81</v>
          </cell>
          <cell r="X1019">
            <v>7158.82</v>
          </cell>
          <cell r="Y1019">
            <v>-22.379999999999995</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-4502.9399999999996</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35506.629999999997</v>
          </cell>
          <cell r="S1021">
            <v>0</v>
          </cell>
          <cell r="T1021">
            <v>35506.629999999997</v>
          </cell>
          <cell r="U1021">
            <v>44097.21</v>
          </cell>
          <cell r="V1021">
            <v>176007.64</v>
          </cell>
          <cell r="W1021">
            <v>-131910.43</v>
          </cell>
          <cell r="X1021">
            <v>210824.46</v>
          </cell>
          <cell r="Y1021">
            <v>35506.629999999997</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16.940000000000001</v>
          </cell>
          <cell r="V1022">
            <v>53.31</v>
          </cell>
          <cell r="W1022">
            <v>-36.369999999999997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-4.0599999999999996</v>
          </cell>
          <cell r="R1026">
            <v>-4.0599999999999996</v>
          </cell>
          <cell r="S1026">
            <v>0</v>
          </cell>
          <cell r="T1026">
            <v>-4.0599999999999996</v>
          </cell>
          <cell r="U1026">
            <v>-18.48</v>
          </cell>
          <cell r="V1026">
            <v>42585.79</v>
          </cell>
          <cell r="W1026">
            <v>-42604.27</v>
          </cell>
          <cell r="X1026">
            <v>49210</v>
          </cell>
          <cell r="Y1026">
            <v>-4.0599999999999996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72062.039999999994</v>
          </cell>
          <cell r="T1028">
            <v>-72062.039999999994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24086.639999999999</v>
          </cell>
          <cell r="T1029">
            <v>-24086.639999999999</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-268867.90000000002</v>
          </cell>
          <cell r="X1031">
            <v>379292.94</v>
          </cell>
          <cell r="Y1031">
            <v>86747.549999999988</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76226.960000000006</v>
          </cell>
          <cell r="S1032">
            <v>0</v>
          </cell>
          <cell r="T1032">
            <v>76226.960000000006</v>
          </cell>
          <cell r="U1032">
            <v>83250</v>
          </cell>
          <cell r="V1032">
            <v>256126</v>
          </cell>
          <cell r="W1032">
            <v>-172876</v>
          </cell>
          <cell r="X1032">
            <v>268218.71999999997</v>
          </cell>
          <cell r="Y1032">
            <v>76226.959999999992</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2242590.5299999998</v>
          </cell>
          <cell r="W1033">
            <v>-1793711.73</v>
          </cell>
          <cell r="X1033">
            <v>2300061.5099999998</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165756.42000000001</v>
          </cell>
          <cell r="Y1034">
            <v>31916.670000000002</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147.19999999999999</v>
          </cell>
          <cell r="S1046">
            <v>0</v>
          </cell>
          <cell r="T1046">
            <v>147.19999999999999</v>
          </cell>
          <cell r="U1046">
            <v>160.01</v>
          </cell>
          <cell r="V1046">
            <v>238.37</v>
          </cell>
          <cell r="W1046">
            <v>-78.36</v>
          </cell>
          <cell r="X1046">
            <v>245.34</v>
          </cell>
          <cell r="Y1046">
            <v>147.20000000000002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314.70000000000005</v>
          </cell>
          <cell r="Z1049" t="str">
            <v>Other Direct Opex</v>
          </cell>
        </row>
        <row r="1050">
          <cell r="A1050" t="str">
            <v>Singapore</v>
          </cell>
          <cell r="B1050" t="str">
            <v>Zone HQ</v>
          </cell>
          <cell r="C1050" t="str">
            <v>PCI Sales Ovh</v>
          </cell>
          <cell r="D1050" t="str">
            <v>EMIT</v>
          </cell>
          <cell r="E1050" t="str">
            <v>TELECOM</v>
          </cell>
          <cell r="F1050">
            <v>537.44000000000005</v>
          </cell>
          <cell r="G1050">
            <v>299.37</v>
          </cell>
          <cell r="H1050">
            <v>2653.28</v>
          </cell>
          <cell r="R1050">
            <v>3490.09</v>
          </cell>
          <cell r="S1050">
            <v>0</v>
          </cell>
          <cell r="T1050">
            <v>3490.09</v>
          </cell>
          <cell r="U1050">
            <v>3739.21</v>
          </cell>
          <cell r="V1050">
            <v>17268.439999999999</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65991.990000000005</v>
          </cell>
          <cell r="S1051">
            <v>0</v>
          </cell>
          <cell r="T1051">
            <v>65991.990000000005</v>
          </cell>
          <cell r="U1051">
            <v>72024.399999999994</v>
          </cell>
          <cell r="V1051">
            <v>338978.62</v>
          </cell>
          <cell r="W1051">
            <v>-266954.21999999997</v>
          </cell>
          <cell r="X1051">
            <v>356945.7</v>
          </cell>
          <cell r="Y1051">
            <v>65991.989999999991</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4324.6000000000004</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540.19000000000005</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37.200000000000003</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-149.08000000000001</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68.180000000000007</v>
          </cell>
          <cell r="W1063">
            <v>-45.82</v>
          </cell>
          <cell r="X1063">
            <v>71.900000000000006</v>
          </cell>
          <cell r="Y1063">
            <v>20.490000000000002</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296.52999999999997</v>
          </cell>
          <cell r="G1065">
            <v>47.24</v>
          </cell>
          <cell r="H1065">
            <v>364.06</v>
          </cell>
          <cell r="I1065">
            <v>428.16</v>
          </cell>
          <cell r="R1065">
            <v>1135.99</v>
          </cell>
          <cell r="S1065">
            <v>0</v>
          </cell>
          <cell r="T1065">
            <v>1135.99</v>
          </cell>
          <cell r="U1065">
            <v>1221.1500000000001</v>
          </cell>
          <cell r="V1065">
            <v>4333.78</v>
          </cell>
          <cell r="W1065">
            <v>-3112.63</v>
          </cell>
          <cell r="X1065">
            <v>4541.08</v>
          </cell>
          <cell r="Y1065">
            <v>707.82999999999993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262344.90999999997</v>
          </cell>
          <cell r="S1066">
            <v>0</v>
          </cell>
          <cell r="T1066">
            <v>262344.90999999997</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41319.160000000003</v>
          </cell>
          <cell r="S1067">
            <v>0</v>
          </cell>
          <cell r="T1067">
            <v>41319.160000000003</v>
          </cell>
          <cell r="U1067">
            <v>45064.61</v>
          </cell>
          <cell r="V1067">
            <v>163955.10999999999</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4577.6099999999997</v>
          </cell>
          <cell r="R1069">
            <v>4670.8999999999996</v>
          </cell>
          <cell r="S1069">
            <v>0</v>
          </cell>
          <cell r="T1069">
            <v>4670.8999999999996</v>
          </cell>
          <cell r="U1069">
            <v>5109.96</v>
          </cell>
          <cell r="V1069">
            <v>5566.13</v>
          </cell>
          <cell r="W1069">
            <v>-456.17</v>
          </cell>
          <cell r="X1069">
            <v>5605.23</v>
          </cell>
          <cell r="Y1069">
            <v>4670.8999999999996</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4305.6899999999996</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8.6999999999999993</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494924.79999999999</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2450.7600000000002</v>
          </cell>
          <cell r="T1090">
            <v>-2450.7600000000002</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9278.9599999999991</v>
          </cell>
          <cell r="H1092">
            <v>10176.24</v>
          </cell>
          <cell r="R1092">
            <v>29123.040000000001</v>
          </cell>
          <cell r="S1092">
            <v>0</v>
          </cell>
          <cell r="T1092">
            <v>29123.040000000001</v>
          </cell>
          <cell r="U1092">
            <v>31769.38</v>
          </cell>
          <cell r="V1092">
            <v>235232.24</v>
          </cell>
          <cell r="W1092">
            <v>-203462.86</v>
          </cell>
          <cell r="X1092">
            <v>246987.34</v>
          </cell>
          <cell r="Y1092">
            <v>29123.040000000001</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9321.3799999999992</v>
          </cell>
          <cell r="S1093">
            <v>0</v>
          </cell>
          <cell r="T1093">
            <v>9321.3799999999992</v>
          </cell>
          <cell r="U1093">
            <v>10187.75</v>
          </cell>
          <cell r="V1093">
            <v>51962.27</v>
          </cell>
          <cell r="W1093">
            <v>-41774.519999999997</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4553.5600000000004</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16917.099999999999</v>
          </cell>
          <cell r="G1100">
            <v>-9900.75</v>
          </cell>
          <cell r="H1100">
            <v>-18050.060000000001</v>
          </cell>
          <cell r="I1100">
            <v>-3058.62</v>
          </cell>
          <cell r="R1100">
            <v>-14092.33</v>
          </cell>
          <cell r="S1100">
            <v>0</v>
          </cell>
          <cell r="T1100">
            <v>-14092.33</v>
          </cell>
          <cell r="U1100">
            <v>-14092.33</v>
          </cell>
          <cell r="V1100">
            <v>246317.77</v>
          </cell>
          <cell r="W1100">
            <v>-260410.1</v>
          </cell>
          <cell r="X1100">
            <v>246317.77</v>
          </cell>
          <cell r="Y1100">
            <v>-11033.710000000003</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67695.899999999994</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2231.7199999999998</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1255.5999999999999</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80286.320000000007</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3378.4700000000003</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2357.4899999999998</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640.16999999999996</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2051.8200000000002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7331.6299999999992</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-18.260000000000002</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288.41000000000003</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21437.899999999998</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3729.5299999999997</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158.55000000000001</v>
          </cell>
          <cell r="S1131">
            <v>0</v>
          </cell>
          <cell r="T1131">
            <v>158.55000000000001</v>
          </cell>
          <cell r="U1131">
            <v>172.46</v>
          </cell>
          <cell r="V1131">
            <v>788.29</v>
          </cell>
          <cell r="W1131">
            <v>-615.83000000000004</v>
          </cell>
          <cell r="X1131">
            <v>829.77</v>
          </cell>
          <cell r="Y1131">
            <v>158.55000000000001</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19014.169999999998</v>
          </cell>
          <cell r="H1132">
            <v>1085.5999999999999</v>
          </cell>
          <cell r="I1132">
            <v>-8446.73</v>
          </cell>
          <cell r="R1132">
            <v>445.54</v>
          </cell>
          <cell r="S1132">
            <v>0</v>
          </cell>
          <cell r="T1132">
            <v>445.54</v>
          </cell>
          <cell r="U1132">
            <v>445.54</v>
          </cell>
          <cell r="V1132">
            <v>186194.18</v>
          </cell>
          <cell r="W1132">
            <v>-185748.64</v>
          </cell>
          <cell r="X1132">
            <v>186194.18</v>
          </cell>
          <cell r="Y1132">
            <v>8892.2699999999986</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144.94999999999999</v>
          </cell>
          <cell r="R1136">
            <v>519.42999999999995</v>
          </cell>
          <cell r="S1136">
            <v>0</v>
          </cell>
          <cell r="T1136">
            <v>519.42999999999995</v>
          </cell>
          <cell r="U1136">
            <v>555.74</v>
          </cell>
          <cell r="V1136">
            <v>2382.77</v>
          </cell>
          <cell r="W1136">
            <v>-1827.03</v>
          </cell>
          <cell r="X1136">
            <v>2481.4699999999998</v>
          </cell>
          <cell r="Y1136">
            <v>519.43000000000006</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8453.2099999999991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-1213.8900000000001</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19.559999999999999</v>
          </cell>
          <cell r="W1145">
            <v>-19.559999999999999</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27299.439999999999</v>
          </cell>
          <cell r="R1147">
            <v>27299.439999999999</v>
          </cell>
          <cell r="S1147">
            <v>0</v>
          </cell>
          <cell r="T1147">
            <v>27299.439999999999</v>
          </cell>
          <cell r="U1147">
            <v>29764</v>
          </cell>
          <cell r="V1147">
            <v>56466</v>
          </cell>
          <cell r="W1147">
            <v>-26702</v>
          </cell>
          <cell r="X1147">
            <v>58896.68</v>
          </cell>
          <cell r="Y1147">
            <v>27299.439999999999</v>
          </cell>
          <cell r="Z1147" t="str">
            <v>Services</v>
          </cell>
        </row>
        <row r="1148">
          <cell r="A1148" t="str">
            <v>Singapore</v>
          </cell>
          <cell r="B1148" t="str">
            <v>Country</v>
          </cell>
          <cell r="C1148" t="str">
            <v>Industrial Sales</v>
          </cell>
          <cell r="D1148" t="str">
            <v>SERVICE</v>
          </cell>
          <cell r="E1148" t="str">
            <v>SITE</v>
          </cell>
          <cell r="V1148">
            <v>8.2200000000000006</v>
          </cell>
          <cell r="W1148">
            <v>-8.2200000000000006</v>
          </cell>
          <cell r="X1148">
            <v>8.6999999999999993</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2058.0499999999997</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513.16999999999996</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582.66999999999996</v>
          </cell>
          <cell r="W1154">
            <v>-530.67999999999995</v>
          </cell>
          <cell r="X1154">
            <v>615.17999999999995</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34.369999999999997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4686.2700000000004</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32.270000000000003</v>
          </cell>
          <cell r="W1159">
            <v>-32.270000000000003</v>
          </cell>
          <cell r="X1159">
            <v>36.229999999999997</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139448.29999999999</v>
          </cell>
          <cell r="S1160">
            <v>0</v>
          </cell>
          <cell r="T1160">
            <v>139448.29999999999</v>
          </cell>
          <cell r="U1160">
            <v>152073.81</v>
          </cell>
          <cell r="V1160">
            <v>623066.1</v>
          </cell>
          <cell r="W1160">
            <v>-470992.29</v>
          </cell>
          <cell r="X1160">
            <v>656587.98</v>
          </cell>
          <cell r="Y1160">
            <v>139448.30000000002</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39513.120000000003</v>
          </cell>
          <cell r="S1161">
            <v>0</v>
          </cell>
          <cell r="T1161">
            <v>39513.120000000003</v>
          </cell>
          <cell r="U1161">
            <v>42961.89</v>
          </cell>
          <cell r="V1161">
            <v>134199.4</v>
          </cell>
          <cell r="W1161">
            <v>-91237.51</v>
          </cell>
          <cell r="X1161">
            <v>140452.04999999999</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1044.8399999999999</v>
          </cell>
          <cell r="V1164">
            <v>4794.58</v>
          </cell>
          <cell r="W1164">
            <v>-3749.74</v>
          </cell>
          <cell r="X1164">
            <v>5050.62</v>
          </cell>
          <cell r="Y1164">
            <v>960.56999999999994</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66744.789999999994</v>
          </cell>
          <cell r="W1168">
            <v>-66744.789999999994</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2103.2800000000002</v>
          </cell>
          <cell r="I1170">
            <v>924.1</v>
          </cell>
          <cell r="R1170">
            <v>7878.44</v>
          </cell>
          <cell r="S1170">
            <v>0</v>
          </cell>
          <cell r="T1170">
            <v>7878.44</v>
          </cell>
          <cell r="U1170">
            <v>8606.11</v>
          </cell>
          <cell r="V1170">
            <v>10802.66</v>
          </cell>
          <cell r="W1170">
            <v>-2196.5500000000002</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-1206.8800000000001</v>
          </cell>
          <cell r="R1171">
            <v>-3585.25</v>
          </cell>
          <cell r="S1171">
            <v>0</v>
          </cell>
          <cell r="T1171">
            <v>-3585.25</v>
          </cell>
          <cell r="U1171">
            <v>-3922.36</v>
          </cell>
          <cell r="V1171">
            <v>-10192.969999999999</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20368.439999999999</v>
          </cell>
          <cell r="H1174">
            <v>111409.93</v>
          </cell>
          <cell r="I1174">
            <v>-31827.11</v>
          </cell>
          <cell r="R1174">
            <v>84769.72</v>
          </cell>
          <cell r="S1174">
            <v>0</v>
          </cell>
          <cell r="T1174">
            <v>84769.72</v>
          </cell>
          <cell r="U1174">
            <v>84769.72</v>
          </cell>
          <cell r="V1174">
            <v>216330.99</v>
          </cell>
          <cell r="W1174">
            <v>-131561.26999999999</v>
          </cell>
          <cell r="X1174">
            <v>216330.99</v>
          </cell>
          <cell r="Y1174">
            <v>116596.82999999999</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-9702.7900000000009</v>
          </cell>
          <cell r="X1177">
            <v>17174.18</v>
          </cell>
          <cell r="Y1177">
            <v>7471.3899999999994</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1054.8499999999999</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139.86000000000001</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300.22000000000003</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-10116.530000000001</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-1060.0999999999999</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4621.8600000000006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18931.900000000001</v>
          </cell>
          <cell r="G1196">
            <v>12404.15</v>
          </cell>
          <cell r="H1196">
            <v>12762.18</v>
          </cell>
          <cell r="I1196">
            <v>687.8</v>
          </cell>
          <cell r="R1196">
            <v>44786.03</v>
          </cell>
          <cell r="S1196">
            <v>0</v>
          </cell>
          <cell r="T1196">
            <v>44786.03</v>
          </cell>
          <cell r="U1196">
            <v>47550.239999999998</v>
          </cell>
          <cell r="V1196">
            <v>292928.42</v>
          </cell>
          <cell r="W1196">
            <v>-245378.18</v>
          </cell>
          <cell r="X1196">
            <v>305165.65000000002</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-34978.589999999997</v>
          </cell>
          <cell r="W1197">
            <v>30264.47</v>
          </cell>
          <cell r="X1197">
            <v>-36655.589999999997</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524926.43999999994</v>
          </cell>
          <cell r="T1207">
            <v>-524926.43999999994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42658.270000000004</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9127.7199999999993</v>
          </cell>
          <cell r="V1211">
            <v>18243.439999999999</v>
          </cell>
          <cell r="W1211">
            <v>-9115.7199999999993</v>
          </cell>
          <cell r="X1211">
            <v>20143.36</v>
          </cell>
          <cell r="Y1211">
            <v>4950.8899999999994</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479.41999999999996</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10272.549999999999</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2522.7199999999998</v>
          </cell>
          <cell r="S1216">
            <v>0</v>
          </cell>
          <cell r="T1216">
            <v>2522.7199999999998</v>
          </cell>
          <cell r="U1216">
            <v>2749</v>
          </cell>
          <cell r="V1216">
            <v>9714.59</v>
          </cell>
          <cell r="W1216">
            <v>-6965.59</v>
          </cell>
          <cell r="X1216">
            <v>10371.530000000001</v>
          </cell>
          <cell r="Y1216">
            <v>2522.7199999999998</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647.58000000000004</v>
          </cell>
          <cell r="W1217">
            <v>-449.63</v>
          </cell>
          <cell r="X1217">
            <v>668.87</v>
          </cell>
          <cell r="Y1217">
            <v>167.51999999999998</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16.739999999999998</v>
          </cell>
          <cell r="W1220">
            <v>-16.739999999999998</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5.370000000000001</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628.44000000000005</v>
          </cell>
          <cell r="R1226">
            <v>1877.01</v>
          </cell>
          <cell r="S1226">
            <v>0</v>
          </cell>
          <cell r="T1226">
            <v>1877.01</v>
          </cell>
          <cell r="U1226">
            <v>1877.01</v>
          </cell>
          <cell r="V1226">
            <v>11121.37</v>
          </cell>
          <cell r="W1226">
            <v>-9244.36</v>
          </cell>
          <cell r="X1226">
            <v>11144.74</v>
          </cell>
          <cell r="Y1226">
            <v>1877.0100000000002</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34.020000000000003</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74.760000000000005</v>
          </cell>
          <cell r="R1231">
            <v>144.53</v>
          </cell>
          <cell r="S1231">
            <v>0</v>
          </cell>
          <cell r="T1231">
            <v>144.53</v>
          </cell>
          <cell r="U1231">
            <v>159.75</v>
          </cell>
          <cell r="V1231">
            <v>2664.48</v>
          </cell>
          <cell r="W1231">
            <v>-2504.73</v>
          </cell>
          <cell r="X1231">
            <v>2802.76</v>
          </cell>
          <cell r="Y1231">
            <v>144.53000000000003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-1299972.8400000001</v>
          </cell>
          <cell r="T1236">
            <v>962980.24</v>
          </cell>
          <cell r="U1236">
            <v>-367467.51</v>
          </cell>
          <cell r="V1236">
            <v>-1026708.36</v>
          </cell>
          <cell r="W1236">
            <v>659240.85</v>
          </cell>
          <cell r="X1236">
            <v>-1110070.02</v>
          </cell>
          <cell r="Y1236">
            <v>-336992.60000000003</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-2085.5700000000002</v>
          </cell>
          <cell r="G1239">
            <v>-2408.0300000000002</v>
          </cell>
          <cell r="H1239">
            <v>-2703.28</v>
          </cell>
          <cell r="R1239">
            <v>-7196.88</v>
          </cell>
          <cell r="S1239">
            <v>0</v>
          </cell>
          <cell r="T1239">
            <v>-7196.88</v>
          </cell>
          <cell r="U1239">
            <v>-7196.88</v>
          </cell>
          <cell r="V1239">
            <v>-19085.240000000002</v>
          </cell>
          <cell r="W1239">
            <v>11888.36</v>
          </cell>
          <cell r="X1239">
            <v>-19085.240000000002</v>
          </cell>
          <cell r="Y1239">
            <v>-7196.880000000001</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137840.70000000001</v>
          </cell>
          <cell r="S1240">
            <v>0</v>
          </cell>
          <cell r="T1240">
            <v>137840.70000000001</v>
          </cell>
          <cell r="U1240">
            <v>150408.37</v>
          </cell>
          <cell r="V1240">
            <v>472820.17</v>
          </cell>
          <cell r="W1240">
            <v>-322411.8</v>
          </cell>
          <cell r="X1240">
            <v>502684.71</v>
          </cell>
          <cell r="Y1240">
            <v>137840.70000000001</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79631.740000000005</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921.20999999999992</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276.95999999999998</v>
          </cell>
          <cell r="G1246">
            <v>364.78</v>
          </cell>
          <cell r="H1246">
            <v>166.64</v>
          </cell>
          <cell r="I1246">
            <v>17.579999999999998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4199.8500000000004</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128.38999999999999</v>
          </cell>
          <cell r="S1252">
            <v>0</v>
          </cell>
          <cell r="T1252">
            <v>128.38999999999999</v>
          </cell>
          <cell r="U1252">
            <v>139.41</v>
          </cell>
          <cell r="V1252">
            <v>86.05</v>
          </cell>
          <cell r="W1252">
            <v>53.36</v>
          </cell>
          <cell r="X1252">
            <v>93.36</v>
          </cell>
          <cell r="Y1252">
            <v>128.39000000000001</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278.91000000000003</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2166.0500000000002</v>
          </cell>
          <cell r="W1256">
            <v>-2166.0500000000002</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267.60000000000002</v>
          </cell>
          <cell r="R1262">
            <v>533.80999999999995</v>
          </cell>
          <cell r="S1262">
            <v>0</v>
          </cell>
          <cell r="T1262">
            <v>533.80999999999995</v>
          </cell>
          <cell r="U1262">
            <v>585.02</v>
          </cell>
          <cell r="V1262">
            <v>2760.92</v>
          </cell>
          <cell r="W1262">
            <v>-2175.9</v>
          </cell>
          <cell r="X1262">
            <v>2935.9</v>
          </cell>
          <cell r="Y1262">
            <v>533.80999999999995</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4131.8500000000004</v>
          </cell>
          <cell r="I1266">
            <v>450.47</v>
          </cell>
          <cell r="R1266">
            <v>4660.66</v>
          </cell>
          <cell r="S1266">
            <v>0</v>
          </cell>
          <cell r="T1266">
            <v>4660.66</v>
          </cell>
          <cell r="U1266">
            <v>5142.21</v>
          </cell>
          <cell r="V1266">
            <v>17770.63</v>
          </cell>
          <cell r="W1266">
            <v>-12628.42</v>
          </cell>
          <cell r="X1266">
            <v>19099.41</v>
          </cell>
          <cell r="Y1266">
            <v>4210.1900000000005</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-8504.9500000000007</v>
          </cell>
          <cell r="W1268">
            <v>8504.9500000000007</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2263.8000000000002</v>
          </cell>
          <cell r="H1270">
            <v>1981.97</v>
          </cell>
          <cell r="R1270">
            <v>6509.63</v>
          </cell>
          <cell r="S1270">
            <v>0</v>
          </cell>
          <cell r="T1270">
            <v>6509.63</v>
          </cell>
          <cell r="U1270">
            <v>7083.6</v>
          </cell>
          <cell r="V1270">
            <v>34461.61</v>
          </cell>
          <cell r="W1270">
            <v>-27378.01</v>
          </cell>
          <cell r="X1270">
            <v>36923.449999999997</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1046.6600000000001</v>
          </cell>
          <cell r="S1272">
            <v>0</v>
          </cell>
          <cell r="T1272">
            <v>1046.6600000000001</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558.79999999999995</v>
          </cell>
          <cell r="W1273">
            <v>-558.79999999999995</v>
          </cell>
          <cell r="X1273">
            <v>622.20000000000005</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622.20000000000005</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9408.7800000000007</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0.56000000000000005</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16915.419999999998</v>
          </cell>
          <cell r="V1277">
            <v>72565.279999999999</v>
          </cell>
          <cell r="W1277">
            <v>-55649.86</v>
          </cell>
          <cell r="X1277">
            <v>77186.28</v>
          </cell>
          <cell r="Y1277">
            <v>15388.180000000002</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1219.8399999999999</v>
          </cell>
          <cell r="S1279">
            <v>0</v>
          </cell>
          <cell r="T1279">
            <v>1219.8399999999999</v>
          </cell>
          <cell r="U1279">
            <v>1318.16</v>
          </cell>
          <cell r="V1279">
            <v>22.64</v>
          </cell>
          <cell r="W1279">
            <v>1295.52</v>
          </cell>
          <cell r="X1279">
            <v>23.33</v>
          </cell>
          <cell r="Y1279">
            <v>1219.8399999999999</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161507.07999999999</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2012.8600000000001</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135.30000000000001</v>
          </cell>
          <cell r="S1283">
            <v>0</v>
          </cell>
          <cell r="T1283">
            <v>135.30000000000001</v>
          </cell>
          <cell r="U1283">
            <v>147.61000000000001</v>
          </cell>
          <cell r="V1283">
            <v>592.47</v>
          </cell>
          <cell r="W1283">
            <v>-444.86</v>
          </cell>
          <cell r="X1283">
            <v>634.66</v>
          </cell>
          <cell r="Y1283">
            <v>135.30000000000001</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1123.1500000000001</v>
          </cell>
          <cell r="G1285">
            <v>1123.1500000000001</v>
          </cell>
          <cell r="H1285">
            <v>1123.1500000000001</v>
          </cell>
          <cell r="R1285">
            <v>3369.45</v>
          </cell>
          <cell r="S1285">
            <v>0</v>
          </cell>
          <cell r="T1285">
            <v>3369.45</v>
          </cell>
          <cell r="U1285">
            <v>3678.12</v>
          </cell>
          <cell r="V1285">
            <v>27624.61</v>
          </cell>
          <cell r="W1285">
            <v>-23946.49</v>
          </cell>
          <cell r="X1285">
            <v>29454.86</v>
          </cell>
          <cell r="Y1285">
            <v>3369.4500000000003</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-4465.6000000000004</v>
          </cell>
          <cell r="S1288">
            <v>0</v>
          </cell>
          <cell r="T1288">
            <v>-4465.6000000000004</v>
          </cell>
          <cell r="U1288">
            <v>-4879.3999999999996</v>
          </cell>
          <cell r="W1288">
            <v>-4879.3999999999996</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-7.0000000000000007E-2</v>
          </cell>
          <cell r="V1289">
            <v>0.05</v>
          </cell>
          <cell r="W1289">
            <v>-0.12</v>
          </cell>
          <cell r="X1289">
            <v>0.08</v>
          </cell>
          <cell r="Y1289">
            <v>-0.29000000000000004</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624.44000000000005</v>
          </cell>
          <cell r="W1291">
            <v>-624.44000000000005</v>
          </cell>
          <cell r="X1291">
            <v>653.32000000000005</v>
          </cell>
          <cell r="Y1291">
            <v>0</v>
          </cell>
          <cell r="Z1291" t="str">
            <v>Services</v>
          </cell>
        </row>
        <row r="1292">
          <cell r="A1292" t="str">
            <v>Thailand</v>
          </cell>
          <cell r="B1292" t="str">
            <v>Country</v>
          </cell>
          <cell r="C1292" t="str">
            <v>Distributor Business</v>
          </cell>
          <cell r="D1292" t="str">
            <v>SERVICE</v>
          </cell>
          <cell r="E1292" t="str">
            <v>OTHER</v>
          </cell>
          <cell r="F1292">
            <v>156.30000000000001</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584.54999999999995</v>
          </cell>
          <cell r="G1304">
            <v>584.57000000000005</v>
          </cell>
          <cell r="H1304">
            <v>584.54999999999995</v>
          </cell>
          <cell r="R1304">
            <v>1753.67</v>
          </cell>
          <cell r="S1304">
            <v>0</v>
          </cell>
          <cell r="T1304">
            <v>1753.67</v>
          </cell>
          <cell r="U1304">
            <v>1909.23</v>
          </cell>
          <cell r="V1304">
            <v>8184.9</v>
          </cell>
          <cell r="W1304">
            <v>-6275.67</v>
          </cell>
          <cell r="X1304">
            <v>8755.25</v>
          </cell>
          <cell r="Y1304">
            <v>1753.6699999999998</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2.1800000000000002</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41048.990000000005</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1297.8499999999999</v>
          </cell>
          <cell r="I1310">
            <v>1607.69</v>
          </cell>
          <cell r="R1310">
            <v>5004.07</v>
          </cell>
          <cell r="S1310">
            <v>0</v>
          </cell>
          <cell r="T1310">
            <v>5004.07</v>
          </cell>
          <cell r="U1310">
            <v>5492.49</v>
          </cell>
          <cell r="V1310">
            <v>24527.57</v>
          </cell>
          <cell r="W1310">
            <v>-19035.080000000002</v>
          </cell>
          <cell r="X1310">
            <v>26085.86</v>
          </cell>
          <cell r="Y1310">
            <v>3396.3799999999997</v>
          </cell>
          <cell r="Z1310" t="str">
            <v>T&amp;E</v>
          </cell>
        </row>
        <row r="1311">
          <cell r="A1311" t="str">
            <v>Thailand</v>
          </cell>
          <cell r="B1311" t="str">
            <v>Country</v>
          </cell>
          <cell r="C1311" t="str">
            <v>Field Engineering Su</v>
          </cell>
          <cell r="D1311" t="str">
            <v>EMPLOYEE</v>
          </cell>
          <cell r="E1311" t="str">
            <v>TRAINING</v>
          </cell>
          <cell r="V1311">
            <v>151.44999999999999</v>
          </cell>
          <cell r="W1311">
            <v>-151.44999999999999</v>
          </cell>
          <cell r="X1311">
            <v>163.52000000000001</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23219.279999999999</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-17609.759999999998</v>
          </cell>
          <cell r="X1314">
            <v>27336.240000000002</v>
          </cell>
          <cell r="Y1314">
            <v>7377.4500000000007</v>
          </cell>
          <cell r="Z1314" t="str">
            <v>Employee Expenses</v>
          </cell>
        </row>
        <row r="1315">
          <cell r="A1315" t="str">
            <v>Thailand</v>
          </cell>
          <cell r="B1315" t="str">
            <v>Country</v>
          </cell>
          <cell r="C1315" t="str">
            <v>Field Engineering Su</v>
          </cell>
          <cell r="D1315" t="str">
            <v>CONTRACTOR</v>
          </cell>
          <cell r="E1315" t="str">
            <v>M&amp;R_SKILLED_TRADE_CO</v>
          </cell>
          <cell r="F1315">
            <v>156.47999999999999</v>
          </cell>
          <cell r="G1315">
            <v>13.67</v>
          </cell>
          <cell r="H1315">
            <v>518.32000000000005</v>
          </cell>
          <cell r="I1315">
            <v>8.3699999999999992</v>
          </cell>
          <cell r="R1315">
            <v>696.84</v>
          </cell>
          <cell r="S1315">
            <v>0</v>
          </cell>
          <cell r="T1315">
            <v>696.84</v>
          </cell>
          <cell r="U1315">
            <v>764.37</v>
          </cell>
          <cell r="V1315">
            <v>2922.07</v>
          </cell>
          <cell r="W1315">
            <v>-2157.6999999999998</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259.04000000000002</v>
          </cell>
          <cell r="H1322">
            <v>402.76</v>
          </cell>
          <cell r="R1322">
            <v>991</v>
          </cell>
          <cell r="S1322">
            <v>0</v>
          </cell>
          <cell r="T1322">
            <v>991</v>
          </cell>
          <cell r="U1322">
            <v>1080.3499999999999</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257.41000000000003</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584.44000000000005</v>
          </cell>
          <cell r="G1326">
            <v>584.44000000000005</v>
          </cell>
          <cell r="H1326">
            <v>584.44000000000005</v>
          </cell>
          <cell r="R1326">
            <v>1753.32</v>
          </cell>
          <cell r="S1326">
            <v>0</v>
          </cell>
          <cell r="T1326">
            <v>1753.32</v>
          </cell>
          <cell r="U1326">
            <v>1908.84</v>
          </cell>
          <cell r="V1326">
            <v>7321.38</v>
          </cell>
          <cell r="W1326">
            <v>-5412.54</v>
          </cell>
          <cell r="X1326">
            <v>7817.22</v>
          </cell>
          <cell r="Y1326">
            <v>1753.3200000000002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9.5299999999999994</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34.799999999999997</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40088.449999999997</v>
          </cell>
          <cell r="S1332">
            <v>0</v>
          </cell>
          <cell r="T1332">
            <v>40088.449999999997</v>
          </cell>
          <cell r="U1332">
            <v>43762</v>
          </cell>
          <cell r="V1332">
            <v>160905.82</v>
          </cell>
          <cell r="W1332">
            <v>-117143.82</v>
          </cell>
          <cell r="X1332">
            <v>171383.24</v>
          </cell>
          <cell r="Y1332">
            <v>40088.449999999997</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4766.6899999999996</v>
          </cell>
          <cell r="S1333">
            <v>0</v>
          </cell>
          <cell r="T1333">
            <v>4766.6899999999996</v>
          </cell>
          <cell r="U1333">
            <v>5215.09</v>
          </cell>
          <cell r="V1333">
            <v>28295.93</v>
          </cell>
          <cell r="W1333">
            <v>-23080.84</v>
          </cell>
          <cell r="X1333">
            <v>30089.81</v>
          </cell>
          <cell r="Y1333">
            <v>3778.9399999999996</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-541.41999999999996</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5211.2700000000004</v>
          </cell>
          <cell r="S1336">
            <v>0</v>
          </cell>
          <cell r="T1336">
            <v>5211.2700000000004</v>
          </cell>
          <cell r="U1336">
            <v>5688.64</v>
          </cell>
          <cell r="V1336">
            <v>18660.21</v>
          </cell>
          <cell r="W1336">
            <v>-12971.57</v>
          </cell>
          <cell r="X1336">
            <v>19869.2</v>
          </cell>
          <cell r="Y1336">
            <v>5211.2699999999995</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20672.900000000001</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45.290000000000006</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1549.1499999999999</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149.13999999999999</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77.489999999999995</v>
          </cell>
          <cell r="R1351">
            <v>77.489999999999995</v>
          </cell>
          <cell r="S1351">
            <v>0</v>
          </cell>
          <cell r="T1351">
            <v>77.489999999999995</v>
          </cell>
          <cell r="U1351">
            <v>77.489999999999995</v>
          </cell>
          <cell r="V1351">
            <v>1888.35</v>
          </cell>
          <cell r="W1351">
            <v>-1810.86</v>
          </cell>
          <cell r="X1351">
            <v>1888.35</v>
          </cell>
          <cell r="Y1351">
            <v>77.489999999999995</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2551.3500000000004</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40.520000000000003</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160.69999999999999</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247243.51999999999</v>
          </cell>
          <cell r="S1361">
            <v>0</v>
          </cell>
          <cell r="T1361">
            <v>247243.51999999999</v>
          </cell>
          <cell r="U1361">
            <v>269542.74</v>
          </cell>
          <cell r="V1361">
            <v>796416.69</v>
          </cell>
          <cell r="W1361">
            <v>-526873.94999999995</v>
          </cell>
          <cell r="X1361">
            <v>851072.17</v>
          </cell>
          <cell r="Y1361">
            <v>247243.52000000002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-35001.040000000001</v>
          </cell>
          <cell r="X1362">
            <v>74911.509999999995</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20221.080000000002</v>
          </cell>
          <cell r="H1364">
            <v>55.82</v>
          </cell>
          <cell r="R1364">
            <v>20276.900000000001</v>
          </cell>
          <cell r="S1364">
            <v>0</v>
          </cell>
          <cell r="T1364">
            <v>20276.900000000001</v>
          </cell>
          <cell r="U1364">
            <v>21845.37</v>
          </cell>
          <cell r="V1364">
            <v>23247.64</v>
          </cell>
          <cell r="W1364">
            <v>-1402.27</v>
          </cell>
          <cell r="X1364">
            <v>24740.97</v>
          </cell>
          <cell r="Y1364">
            <v>20276.900000000001</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265.72000000000003</v>
          </cell>
          <cell r="S1365">
            <v>0</v>
          </cell>
          <cell r="T1365">
            <v>265.72000000000003</v>
          </cell>
          <cell r="U1365">
            <v>289.97000000000003</v>
          </cell>
          <cell r="V1365">
            <v>1236.69</v>
          </cell>
          <cell r="W1365">
            <v>-946.72</v>
          </cell>
          <cell r="X1365">
            <v>1339.78</v>
          </cell>
          <cell r="Y1365">
            <v>265.72000000000003</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3826.5299999999997</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20738.240000000002</v>
          </cell>
          <cell r="S1368">
            <v>0</v>
          </cell>
          <cell r="T1368">
            <v>20738.240000000002</v>
          </cell>
          <cell r="U1368">
            <v>22610.74</v>
          </cell>
          <cell r="V1368">
            <v>64001.87</v>
          </cell>
          <cell r="W1368">
            <v>-41391.129999999997</v>
          </cell>
          <cell r="X1368">
            <v>68096.95</v>
          </cell>
          <cell r="Y1368">
            <v>18198.350000000002</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2533.4299999999998</v>
          </cell>
          <cell r="W1369">
            <v>-1499.69</v>
          </cell>
          <cell r="X1369">
            <v>2533.4299999999998</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270.22000000000003</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74.290000000000006</v>
          </cell>
          <cell r="R1371">
            <v>177.42</v>
          </cell>
          <cell r="S1371">
            <v>0</v>
          </cell>
          <cell r="T1371">
            <v>177.42</v>
          </cell>
          <cell r="U1371">
            <v>192.89</v>
          </cell>
          <cell r="V1371">
            <v>175.79</v>
          </cell>
          <cell r="W1371">
            <v>17.100000000000001</v>
          </cell>
          <cell r="X1371">
            <v>183.87</v>
          </cell>
          <cell r="Y1371">
            <v>177.42000000000002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128.38999999999999</v>
          </cell>
          <cell r="H1374">
            <v>36600.949999999997</v>
          </cell>
          <cell r="R1374">
            <v>37699.5</v>
          </cell>
          <cell r="S1374">
            <v>0</v>
          </cell>
          <cell r="T1374">
            <v>37699.5</v>
          </cell>
          <cell r="U1374">
            <v>41426.910000000003</v>
          </cell>
          <cell r="V1374">
            <v>65991.59</v>
          </cell>
          <cell r="W1374">
            <v>-24564.68</v>
          </cell>
          <cell r="X1374">
            <v>73309.460000000006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1140.9000000000001</v>
          </cell>
          <cell r="I1377">
            <v>234.39</v>
          </cell>
          <cell r="R1377">
            <v>2466.37</v>
          </cell>
          <cell r="S1377">
            <v>0</v>
          </cell>
          <cell r="T1377">
            <v>2466.37</v>
          </cell>
          <cell r="U1377">
            <v>2692.68</v>
          </cell>
          <cell r="V1377">
            <v>8678.2999999999993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1277.5899999999999</v>
          </cell>
          <cell r="W1378">
            <v>-1277.5899999999999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2527.2600000000002</v>
          </cell>
          <cell r="S1385">
            <v>0</v>
          </cell>
          <cell r="T1385">
            <v>2527.2600000000002</v>
          </cell>
          <cell r="U1385">
            <v>2737.85</v>
          </cell>
          <cell r="V1385">
            <v>4593.3</v>
          </cell>
          <cell r="W1385">
            <v>-1855.45</v>
          </cell>
          <cell r="X1385">
            <v>4882.8500000000004</v>
          </cell>
          <cell r="Y1385">
            <v>2527.2600000000002</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7.0000000000000007E-2</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574.80999999999995</v>
          </cell>
          <cell r="W1389">
            <v>10465.26</v>
          </cell>
          <cell r="X1389">
            <v>587.91999999999996</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534.07000000000005</v>
          </cell>
          <cell r="G1396">
            <v>20.93</v>
          </cell>
          <cell r="R1396">
            <v>555</v>
          </cell>
          <cell r="S1396">
            <v>0</v>
          </cell>
          <cell r="T1396">
            <v>555</v>
          </cell>
          <cell r="U1396">
            <v>601.42999999999995</v>
          </cell>
          <cell r="V1396">
            <v>2415.8000000000002</v>
          </cell>
          <cell r="W1396">
            <v>-1814.37</v>
          </cell>
          <cell r="X1396">
            <v>2497.5100000000002</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34163.160000000003</v>
          </cell>
          <cell r="T1399">
            <v>-34163.160000000003</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-131681.35999999999</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1238.1500000000001</v>
          </cell>
          <cell r="R1410">
            <v>1238.1500000000001</v>
          </cell>
          <cell r="S1410">
            <v>0</v>
          </cell>
          <cell r="T1410">
            <v>1238.1500000000001</v>
          </cell>
          <cell r="U1410">
            <v>1282.8900000000001</v>
          </cell>
          <cell r="W1410">
            <v>1282.8900000000001</v>
          </cell>
          <cell r="Y1410">
            <v>1238.1500000000001</v>
          </cell>
          <cell r="Z1410" t="str">
            <v>Employee Expenses</v>
          </cell>
        </row>
        <row r="1411">
          <cell r="A1411" t="str">
            <v>Taiwan</v>
          </cell>
          <cell r="B1411" t="str">
            <v>Country</v>
          </cell>
          <cell r="C1411" t="str">
            <v>Automotive Sales</v>
          </cell>
          <cell r="D1411" t="str">
            <v>EMPLOYEE</v>
          </cell>
          <cell r="E1411" t="str">
            <v>PENSION</v>
          </cell>
          <cell r="F1411">
            <v>9228.7000000000007</v>
          </cell>
          <cell r="G1411">
            <v>9072.1</v>
          </cell>
          <cell r="H1411">
            <v>9218.16</v>
          </cell>
          <cell r="R1411">
            <v>27518.959999999999</v>
          </cell>
          <cell r="S1411">
            <v>0</v>
          </cell>
          <cell r="T1411">
            <v>27518.959999999999</v>
          </cell>
          <cell r="U1411">
            <v>28666.04</v>
          </cell>
          <cell r="V1411">
            <v>101904.81</v>
          </cell>
          <cell r="W1411">
            <v>-73238.77</v>
          </cell>
          <cell r="X1411">
            <v>108737.07</v>
          </cell>
          <cell r="Y1411">
            <v>27518.960000000003</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-607.29999999999995</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1302.8800000000001</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135.19999999999999</v>
          </cell>
          <cell r="R1416">
            <v>290.88</v>
          </cell>
          <cell r="S1416">
            <v>0</v>
          </cell>
          <cell r="T1416">
            <v>290.88</v>
          </cell>
          <cell r="U1416">
            <v>304.93</v>
          </cell>
          <cell r="V1416">
            <v>280.33</v>
          </cell>
          <cell r="W1416">
            <v>24.6</v>
          </cell>
          <cell r="X1416">
            <v>306.89999999999998</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29.770000000000003</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17074.259999999998</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160.80000000000001</v>
          </cell>
          <cell r="S1420">
            <v>0</v>
          </cell>
          <cell r="T1420">
            <v>160.80000000000001</v>
          </cell>
          <cell r="U1420">
            <v>168.35</v>
          </cell>
          <cell r="V1420">
            <v>768.42</v>
          </cell>
          <cell r="W1420">
            <v>-600.07000000000005</v>
          </cell>
          <cell r="X1420">
            <v>854.39</v>
          </cell>
          <cell r="Y1420">
            <v>160.80000000000001</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1147.6400000000001</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38358.379999999997</v>
          </cell>
          <cell r="V1423">
            <v>205375.86</v>
          </cell>
          <cell r="W1423">
            <v>-167017.48000000001</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75.709999999999994</v>
          </cell>
          <cell r="R1424">
            <v>75.709999999999994</v>
          </cell>
          <cell r="S1424">
            <v>0</v>
          </cell>
          <cell r="T1424">
            <v>75.709999999999994</v>
          </cell>
          <cell r="U1424">
            <v>78.45</v>
          </cell>
          <cell r="W1424">
            <v>78.45</v>
          </cell>
          <cell r="Y1424">
            <v>75.709999999999994</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20281.400000000001</v>
          </cell>
          <cell r="W1427">
            <v>-20281.400000000001</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20065.919999999998</v>
          </cell>
          <cell r="W1429">
            <v>-20065.919999999998</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1247.6099999999999</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-4914.1899999999996</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4.4400000000000004</v>
          </cell>
          <cell r="H1434">
            <v>17.28</v>
          </cell>
          <cell r="R1434">
            <v>34.78</v>
          </cell>
          <cell r="S1434">
            <v>0</v>
          </cell>
          <cell r="T1434">
            <v>34.78</v>
          </cell>
          <cell r="U1434">
            <v>36.07</v>
          </cell>
          <cell r="V1434">
            <v>117.47</v>
          </cell>
          <cell r="W1434">
            <v>-81.400000000000006</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75955.149999999994</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3811.8999999999996</v>
          </cell>
          <cell r="Z1436" t="str">
            <v>T&amp;E</v>
          </cell>
        </row>
        <row r="1437">
          <cell r="A1437" t="str">
            <v>Taiwan</v>
          </cell>
          <cell r="B1437" t="str">
            <v>Country</v>
          </cell>
          <cell r="C1437" t="str">
            <v>Distributor Business</v>
          </cell>
          <cell r="D1437" t="str">
            <v>EMPLOYEE</v>
          </cell>
          <cell r="E1437" t="str">
            <v>TRAINING</v>
          </cell>
          <cell r="V1437">
            <v>1066.0999999999999</v>
          </cell>
          <cell r="W1437">
            <v>-1066.0999999999999</v>
          </cell>
          <cell r="X1437">
            <v>1136.3499999999999</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4.9400000000000004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18.510000000000002</v>
          </cell>
          <cell r="R1446">
            <v>25.06</v>
          </cell>
          <cell r="S1446">
            <v>0</v>
          </cell>
          <cell r="T1446">
            <v>25.06</v>
          </cell>
          <cell r="U1446">
            <v>25.92</v>
          </cell>
          <cell r="V1446">
            <v>239.88</v>
          </cell>
          <cell r="W1446">
            <v>-213.96</v>
          </cell>
          <cell r="X1446">
            <v>253.66</v>
          </cell>
          <cell r="Y1446">
            <v>25.060000000000002</v>
          </cell>
          <cell r="Z1446" t="str">
            <v>Other Direct Opex</v>
          </cell>
        </row>
        <row r="1447">
          <cell r="A1447" t="str">
            <v>Taiwan</v>
          </cell>
          <cell r="B1447" t="str">
            <v>Country</v>
          </cell>
          <cell r="C1447" t="str">
            <v>Distributor Business</v>
          </cell>
          <cell r="D1447" t="str">
            <v>GOODS</v>
          </cell>
          <cell r="E1447" t="str">
            <v>CLOTHING_SAFETY</v>
          </cell>
          <cell r="H1447">
            <v>18.899999999999999</v>
          </cell>
          <cell r="R1447">
            <v>18.899999999999999</v>
          </cell>
          <cell r="S1447">
            <v>0</v>
          </cell>
          <cell r="T1447">
            <v>18.899999999999999</v>
          </cell>
          <cell r="U1447">
            <v>19.579999999999998</v>
          </cell>
          <cell r="V1447">
            <v>52.55</v>
          </cell>
          <cell r="W1447">
            <v>-32.97</v>
          </cell>
          <cell r="X1447">
            <v>56.95</v>
          </cell>
          <cell r="Y1447">
            <v>18.899999999999999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303.70999999999998</v>
          </cell>
          <cell r="W1456">
            <v>-303.70999999999998</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21207.620000000003</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4416.3900000000003</v>
          </cell>
          <cell r="S1458">
            <v>0</v>
          </cell>
          <cell r="T1458">
            <v>4416.3900000000003</v>
          </cell>
          <cell r="U1458">
            <v>4565.7700000000004</v>
          </cell>
          <cell r="V1458">
            <v>20061.77</v>
          </cell>
          <cell r="W1458">
            <v>-15496</v>
          </cell>
          <cell r="X1458">
            <v>21290.21</v>
          </cell>
          <cell r="Y1458">
            <v>4416.3899999999994</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4.9400000000000004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287.14999999999998</v>
          </cell>
          <cell r="W1464">
            <v>-287.14999999999998</v>
          </cell>
          <cell r="X1464">
            <v>305.27999999999997</v>
          </cell>
          <cell r="Y1464">
            <v>0</v>
          </cell>
          <cell r="Z1464" t="str">
            <v>Services</v>
          </cell>
        </row>
        <row r="1465">
          <cell r="A1465" t="str">
            <v>Taiwan</v>
          </cell>
          <cell r="B1465" t="str">
            <v>Country</v>
          </cell>
          <cell r="C1465" t="str">
            <v>Field Engineering Su</v>
          </cell>
          <cell r="D1465" t="str">
            <v>SERVICE</v>
          </cell>
          <cell r="E1465" t="str">
            <v>TECHNICAL_TESTING</v>
          </cell>
          <cell r="F1465">
            <v>4982.8999999999996</v>
          </cell>
          <cell r="H1465">
            <v>635.58000000000004</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1136.0899999999999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-1176.8599999999999</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303.70999999999998</v>
          </cell>
          <cell r="W1474">
            <v>-303.70999999999998</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17723.060000000001</v>
          </cell>
          <cell r="H1475">
            <v>17366.810000000001</v>
          </cell>
          <cell r="R1475">
            <v>52885.46</v>
          </cell>
          <cell r="S1475">
            <v>0</v>
          </cell>
          <cell r="T1475">
            <v>52885.46</v>
          </cell>
          <cell r="U1475">
            <v>55096.12</v>
          </cell>
          <cell r="V1475">
            <v>210945.19</v>
          </cell>
          <cell r="W1475">
            <v>-155849.07</v>
          </cell>
          <cell r="X1475">
            <v>225085.26</v>
          </cell>
          <cell r="Y1475">
            <v>52885.460000000006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43081.760000000002</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1078.8800000000001</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-39308.269999999997</v>
          </cell>
          <cell r="X1479">
            <v>58222.2</v>
          </cell>
          <cell r="Y1479">
            <v>14658.460000000001</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1.1100000000000001</v>
          </cell>
          <cell r="W1481">
            <v>-1.1100000000000001</v>
          </cell>
          <cell r="X1481">
            <v>1.1599999999999999</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2519.6999999999998</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35.729999999999997</v>
          </cell>
          <cell r="R1485">
            <v>35.729999999999997</v>
          </cell>
          <cell r="S1485">
            <v>0</v>
          </cell>
          <cell r="T1485">
            <v>35.729999999999997</v>
          </cell>
          <cell r="U1485">
            <v>37.020000000000003</v>
          </cell>
          <cell r="V1485">
            <v>128.80000000000001</v>
          </cell>
          <cell r="W1485">
            <v>-91.78</v>
          </cell>
          <cell r="X1485">
            <v>134.44999999999999</v>
          </cell>
          <cell r="Y1485">
            <v>35.729999999999997</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72.930000000000007</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1117.3399999999999</v>
          </cell>
          <cell r="S1495">
            <v>0</v>
          </cell>
          <cell r="T1495">
            <v>1117.3399999999999</v>
          </cell>
          <cell r="U1495">
            <v>1166.18</v>
          </cell>
          <cell r="V1495">
            <v>4612.03</v>
          </cell>
          <cell r="W1495">
            <v>-3445.85</v>
          </cell>
          <cell r="X1495">
            <v>4920.6899999999996</v>
          </cell>
          <cell r="Y1495">
            <v>1117.3399999999999</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596.79999999999995</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-32.520000000000003</v>
          </cell>
          <cell r="T1501">
            <v>32.520000000000003</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158917.20000000001</v>
          </cell>
          <cell r="T1503">
            <v>-158917.20000000001</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68885.399999999994</v>
          </cell>
          <cell r="T1504">
            <v>-68885.399999999994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-158582.39999999999</v>
          </cell>
          <cell r="T1510">
            <v>158582.39999999999</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 xml:space="preserve">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xml:space="preserve">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 xml:space="preserve">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18.899999999999999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 xml:space="preserve">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77.300000000000011</v>
          </cell>
          <cell r="G29">
            <v>0</v>
          </cell>
          <cell r="H29">
            <v>5</v>
          </cell>
          <cell r="I29">
            <v>77.300000000000011</v>
          </cell>
          <cell r="K29">
            <v>0</v>
          </cell>
          <cell r="L29">
            <v>5</v>
          </cell>
          <cell r="M29">
            <v>77.300000000000011</v>
          </cell>
          <cell r="O29">
            <v>0</v>
          </cell>
          <cell r="P29">
            <v>5</v>
          </cell>
          <cell r="Q29">
            <v>77.300000000000011</v>
          </cell>
          <cell r="S29">
            <v>0</v>
          </cell>
          <cell r="T29">
            <v>5</v>
          </cell>
          <cell r="U29">
            <v>77.300000000000011</v>
          </cell>
          <cell r="W29">
            <v>0</v>
          </cell>
          <cell r="X29">
            <v>5</v>
          </cell>
          <cell r="Y29">
            <v>77.300000000000011</v>
          </cell>
          <cell r="AA29">
            <v>0</v>
          </cell>
          <cell r="AB29">
            <v>463.80000000000007</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 xml:space="preserve">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 xml:space="preserve">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 xml:space="preserve">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143016.79999999999</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244.52136999999999</v>
          </cell>
          <cell r="G152">
            <v>89.036000000000001</v>
          </cell>
          <cell r="I152">
            <v>143.01679999999999</v>
          </cell>
          <cell r="K152">
            <v>138.08947000000001</v>
          </cell>
          <cell r="M152">
            <v>116.35980000000001</v>
          </cell>
          <cell r="O152">
            <v>101.3716</v>
          </cell>
          <cell r="Q152">
            <v>121.65227</v>
          </cell>
          <cell r="S152">
            <v>102.253</v>
          </cell>
          <cell r="U152">
            <v>120.5698</v>
          </cell>
          <cell r="W152">
            <v>95.221469999999997</v>
          </cell>
          <cell r="Y152">
            <v>114.82730000000001</v>
          </cell>
          <cell r="AA152">
            <v>133.42349999999999</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 xml:space="preserve">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xml:space="preserve">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 xml:space="preserve">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21716.260000000002</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77.300000000000011</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 xml:space="preserve">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6.8000000000000007</v>
          </cell>
          <cell r="F46">
            <v>10</v>
          </cell>
          <cell r="G46">
            <v>6.8000000000000007</v>
          </cell>
          <cell r="H46">
            <v>10</v>
          </cell>
          <cell r="I46">
            <v>6.8000000000000007</v>
          </cell>
          <cell r="J46">
            <v>10</v>
          </cell>
          <cell r="K46">
            <v>6.8000000000000007</v>
          </cell>
          <cell r="L46">
            <v>10</v>
          </cell>
          <cell r="M46">
            <v>6.8000000000000007</v>
          </cell>
          <cell r="N46">
            <v>10</v>
          </cell>
          <cell r="O46">
            <v>6.8000000000000007</v>
          </cell>
          <cell r="P46">
            <v>10</v>
          </cell>
          <cell r="Q46">
            <v>6.8000000000000007</v>
          </cell>
          <cell r="R46">
            <v>10</v>
          </cell>
          <cell r="S46">
            <v>6.8000000000000007</v>
          </cell>
          <cell r="T46">
            <v>10</v>
          </cell>
          <cell r="U46">
            <v>6.8000000000000007</v>
          </cell>
          <cell r="V46">
            <v>10</v>
          </cell>
          <cell r="W46">
            <v>6.8000000000000007</v>
          </cell>
          <cell r="X46">
            <v>10</v>
          </cell>
          <cell r="Y46">
            <v>6.8000000000000007</v>
          </cell>
          <cell r="Z46">
            <v>10</v>
          </cell>
          <cell r="AA46">
            <v>6.8000000000000007</v>
          </cell>
          <cell r="AB46">
            <v>81.59999999999998</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1.1000000000000001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 xml:space="preserve">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26572.510000000002</v>
          </cell>
          <cell r="G149">
            <v>21955.05</v>
          </cell>
          <cell r="I149">
            <v>31614.260000000002</v>
          </cell>
          <cell r="K149">
            <v>23045.510000000002</v>
          </cell>
          <cell r="M149">
            <v>21972.55</v>
          </cell>
          <cell r="O149">
            <v>22584.55</v>
          </cell>
          <cell r="Q149">
            <v>22270.05</v>
          </cell>
          <cell r="S149">
            <v>21716.260000000002</v>
          </cell>
          <cell r="U149">
            <v>22185.05</v>
          </cell>
          <cell r="W149">
            <v>22437.05</v>
          </cell>
          <cell r="Y149">
            <v>22366.260000000002</v>
          </cell>
          <cell r="AA149">
            <v>22225.55</v>
          </cell>
          <cell r="AB149">
            <v>280859.65000000002</v>
          </cell>
        </row>
        <row r="152">
          <cell r="A152" t="str">
            <v>COST/MONTH ('000)</v>
          </cell>
          <cell r="E152">
            <v>26.572510000000001</v>
          </cell>
          <cell r="G152">
            <v>21.95505</v>
          </cell>
          <cell r="I152">
            <v>31.614260000000002</v>
          </cell>
          <cell r="K152">
            <v>23.045510000000004</v>
          </cell>
          <cell r="M152">
            <v>21.972549999999998</v>
          </cell>
          <cell r="O152">
            <v>22.58455</v>
          </cell>
          <cell r="Q152">
            <v>22.270049999999998</v>
          </cell>
          <cell r="S152">
            <v>21.716260000000002</v>
          </cell>
          <cell r="U152">
            <v>22.18505</v>
          </cell>
          <cell r="W152">
            <v>22.437049999999999</v>
          </cell>
          <cell r="Y152">
            <v>22.36626</v>
          </cell>
          <cell r="AA152">
            <v>22.225549999999998</v>
          </cell>
          <cell r="AB152">
            <v>280.85965000000004</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 xml:space="preserve">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1.1000000000000001</v>
          </cell>
          <cell r="D102">
            <v>1.1000000000000001</v>
          </cell>
          <cell r="E102">
            <v>3.1</v>
          </cell>
          <cell r="F102">
            <v>1.1000000000000001</v>
          </cell>
          <cell r="G102">
            <v>2.1</v>
          </cell>
          <cell r="H102">
            <v>1.1000000000000001</v>
          </cell>
          <cell r="I102">
            <v>1.1000000000000001</v>
          </cell>
          <cell r="J102">
            <v>1.1000000000000001</v>
          </cell>
          <cell r="K102">
            <v>1.1000000000000001</v>
          </cell>
          <cell r="L102">
            <v>2.1</v>
          </cell>
          <cell r="M102">
            <v>1.1000000000000001</v>
          </cell>
          <cell r="N102">
            <v>1.1000000000000001</v>
          </cell>
        </row>
        <row r="103">
          <cell r="A103" t="str">
            <v>PHOTO COPY PAPER B5</v>
          </cell>
          <cell r="B103">
            <v>240</v>
          </cell>
        </row>
        <row r="104">
          <cell r="A104" t="str">
            <v>PHOTO COPY PRINTING CHARGES</v>
          </cell>
          <cell r="B104">
            <v>1.3</v>
          </cell>
        </row>
        <row r="105">
          <cell r="A105" t="str">
            <v xml:space="preserve">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 xml:space="preserve">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xml:space="preserve">          HEMAS  PHARMACEUTICALS  (PTE)  LTD.</v>
          </cell>
          <cell r="AQ1">
            <v>37347</v>
          </cell>
        </row>
        <row r="2">
          <cell r="J2" t="str">
            <v xml:space="preserve">A/C UP TO </v>
          </cell>
          <cell r="Q2">
            <v>37680</v>
          </cell>
          <cell r="AO2">
            <v>37680</v>
          </cell>
          <cell r="AQ2">
            <v>10.947945205479451</v>
          </cell>
        </row>
        <row r="3">
          <cell r="Q3" t="str">
            <v>H.P.P.L A/C</v>
          </cell>
          <cell r="AQ3" t="str">
            <v xml:space="preserve">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82528865.459999993</v>
          </cell>
          <cell r="N7">
            <v>1</v>
          </cell>
          <cell r="O7">
            <v>94401295.930000022</v>
          </cell>
          <cell r="P7">
            <v>1</v>
          </cell>
          <cell r="Q7">
            <v>100928813.88000004</v>
          </cell>
          <cell r="V7">
            <v>1</v>
          </cell>
          <cell r="W7">
            <v>92837498.510000005</v>
          </cell>
          <cell r="X7">
            <v>1</v>
          </cell>
          <cell r="Y7">
            <v>92690078.439999983</v>
          </cell>
          <cell r="Z7">
            <v>1</v>
          </cell>
          <cell r="AA7">
            <v>75401081.009999886</v>
          </cell>
          <cell r="AB7">
            <v>1</v>
          </cell>
          <cell r="AC7">
            <v>98821776.189999983</v>
          </cell>
          <cell r="AD7">
            <v>1</v>
          </cell>
          <cell r="AE7">
            <v>90107095.379999951</v>
          </cell>
          <cell r="AF7">
            <v>1</v>
          </cell>
          <cell r="AG7">
            <v>80740757.609999999</v>
          </cell>
          <cell r="AH7">
            <v>1</v>
          </cell>
          <cell r="AI7">
            <v>129078480.31000002</v>
          </cell>
          <cell r="AJ7">
            <v>1</v>
          </cell>
          <cell r="AL7" t="e">
            <v>#DIV/0!</v>
          </cell>
          <cell r="AO7">
            <v>100001023.46000008</v>
          </cell>
          <cell r="AP7">
            <v>1</v>
          </cell>
          <cell r="AQ7">
            <v>1037536766.1799999</v>
          </cell>
          <cell r="AR7">
            <v>1</v>
          </cell>
        </row>
        <row r="8">
          <cell r="J8" t="str">
            <v>LESS  TURNOVER  TAX</v>
          </cell>
          <cell r="M8">
            <v>71535.960000000006</v>
          </cell>
          <cell r="N8">
            <v>8.6679926594497993E-4</v>
          </cell>
          <cell r="O8">
            <v>77132.23</v>
          </cell>
          <cell r="P8">
            <v>8.1706749086574723E-4</v>
          </cell>
          <cell r="Q8">
            <v>94574.58</v>
          </cell>
          <cell r="V8">
            <v>9.3704241994208958E-4</v>
          </cell>
          <cell r="W8">
            <v>133829.29999999999</v>
          </cell>
          <cell r="X8">
            <v>1.4415435804270894E-3</v>
          </cell>
          <cell r="Y8">
            <v>103333.1</v>
          </cell>
          <cell r="Z8">
            <v>1.1148237409993071E-3</v>
          </cell>
          <cell r="AA8">
            <v>81565.38</v>
          </cell>
          <cell r="AB8">
            <v>1.0817534564150691E-3</v>
          </cell>
          <cell r="AC8">
            <v>85517.850000000064</v>
          </cell>
          <cell r="AD8">
            <v>8.6537454898178432E-4</v>
          </cell>
          <cell r="AE8">
            <v>56605.85</v>
          </cell>
          <cell r="AF8">
            <v>6.2820635557368277E-4</v>
          </cell>
          <cell r="AG8">
            <v>79274.399999999994</v>
          </cell>
          <cell r="AH8">
            <v>9.8183869394583945E-4</v>
          </cell>
          <cell r="AI8">
            <v>117186.67</v>
          </cell>
          <cell r="AJ8">
            <v>9.0787147259992391E-4</v>
          </cell>
          <cell r="AL8">
            <v>0</v>
          </cell>
          <cell r="AO8">
            <v>70319.120000000068</v>
          </cell>
          <cell r="AP8">
            <v>7.0318400319300102E-4</v>
          </cell>
          <cell r="AQ8">
            <v>970874.44</v>
          </cell>
          <cell r="AR8">
            <v>9.3574943235463629E-4</v>
          </cell>
        </row>
        <row r="9">
          <cell r="J9" t="str">
            <v>NET   TURNOVER</v>
          </cell>
          <cell r="M9">
            <v>82457329.5</v>
          </cell>
          <cell r="N9">
            <v>0.99913320073405509</v>
          </cell>
          <cell r="O9">
            <v>94324163.700000018</v>
          </cell>
          <cell r="P9">
            <v>0.99918293250913426</v>
          </cell>
          <cell r="Q9">
            <v>100834239.30000004</v>
          </cell>
          <cell r="V9">
            <v>0.99906295758005792</v>
          </cell>
          <cell r="W9">
            <v>92703669.210000008</v>
          </cell>
          <cell r="X9">
            <v>0.99855845641957297</v>
          </cell>
          <cell r="Y9">
            <v>92586745.339999989</v>
          </cell>
          <cell r="Z9">
            <v>0.99888517625900075</v>
          </cell>
          <cell r="AA9">
            <v>75319515.629999891</v>
          </cell>
          <cell r="AB9">
            <v>0.99891824654358496</v>
          </cell>
          <cell r="AC9">
            <v>98736258.339999989</v>
          </cell>
          <cell r="AD9">
            <v>0.99913462545101828</v>
          </cell>
          <cell r="AE9">
            <v>90050489.529999956</v>
          </cell>
          <cell r="AF9">
            <v>0.99937179364442641</v>
          </cell>
          <cell r="AG9">
            <v>80661483.209999993</v>
          </cell>
          <cell r="AH9">
            <v>0.99901816130605414</v>
          </cell>
          <cell r="AI9">
            <v>128961293.64000002</v>
          </cell>
          <cell r="AJ9">
            <v>0.99909212852740004</v>
          </cell>
          <cell r="AK9">
            <v>0</v>
          </cell>
          <cell r="AL9" t="e">
            <v>#DIV/0!</v>
          </cell>
          <cell r="AO9">
            <v>99930704.340000078</v>
          </cell>
          <cell r="AQ9">
            <v>1036565891.7399999</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68986016.030000001</v>
          </cell>
          <cell r="N14">
            <v>0.83590166477492744</v>
          </cell>
          <cell r="O14">
            <v>78901478.189999998</v>
          </cell>
          <cell r="P14">
            <v>0.83580926948827727</v>
          </cell>
          <cell r="Q14">
            <v>83965222.810000002</v>
          </cell>
          <cell r="V14">
            <v>0.83192519145059007</v>
          </cell>
          <cell r="W14">
            <v>76688578.929999977</v>
          </cell>
          <cell r="X14">
            <v>0.82605175883470683</v>
          </cell>
          <cell r="Y14">
            <v>75717470.76000008</v>
          </cell>
          <cell r="Z14">
            <v>0.81688862534530504</v>
          </cell>
          <cell r="AA14">
            <v>60732992.75999999</v>
          </cell>
          <cell r="AB14">
            <v>0.80546580959423408</v>
          </cell>
          <cell r="AC14">
            <v>79940538.059999943</v>
          </cell>
          <cell r="AD14">
            <v>0.80893646261024521</v>
          </cell>
          <cell r="AE14">
            <v>73643200.080000073</v>
          </cell>
          <cell r="AF14">
            <v>0.81728525117174977</v>
          </cell>
          <cell r="AG14">
            <v>65467413.429999918</v>
          </cell>
          <cell r="AH14">
            <v>0.81083476756838813</v>
          </cell>
          <cell r="AI14">
            <v>107087428.60000014</v>
          </cell>
          <cell r="AJ14">
            <v>0.82963037946228302</v>
          </cell>
          <cell r="AL14" t="e">
            <v>#DIV/0!</v>
          </cell>
          <cell r="AO14">
            <v>81996206.75</v>
          </cell>
          <cell r="AP14">
            <v>0.81995367560211097</v>
          </cell>
          <cell r="AQ14">
            <v>853126546.39999998</v>
          </cell>
          <cell r="AR14">
            <v>0.82226150841963797</v>
          </cell>
        </row>
        <row r="15">
          <cell r="J15" t="str">
            <v>EXCHANGE V</v>
          </cell>
          <cell r="M15">
            <v>-112414.97</v>
          </cell>
          <cell r="O15">
            <v>-313241.02</v>
          </cell>
          <cell r="Q15">
            <v>36038.51</v>
          </cell>
          <cell r="W15">
            <v>-205128.24</v>
          </cell>
          <cell r="Y15">
            <v>9832</v>
          </cell>
          <cell r="Z15">
            <v>1.0607392037503169E-4</v>
          </cell>
          <cell r="AA15">
            <v>-96505.39</v>
          </cell>
          <cell r="AB15">
            <v>-1.2798939843740597E-3</v>
          </cell>
          <cell r="AC15">
            <v>-353801.83</v>
          </cell>
          <cell r="AD15">
            <v>-3.5802010815891619E-3</v>
          </cell>
          <cell r="AE15">
            <v>-200072.79</v>
          </cell>
          <cell r="AF15">
            <v>-2.2203888512469785E-3</v>
          </cell>
          <cell r="AG15">
            <v>-472435.86</v>
          </cell>
          <cell r="AH15">
            <v>-5.8512686031755457E-3</v>
          </cell>
          <cell r="AI15">
            <v>-304283.53000000003</v>
          </cell>
          <cell r="AJ15">
            <v>-2.3573529008803062E-3</v>
          </cell>
          <cell r="AO15">
            <v>-390715.17999999959</v>
          </cell>
          <cell r="AQ15">
            <v>-2402728.2999999998</v>
          </cell>
        </row>
        <row r="16">
          <cell r="J16" t="str">
            <v>STK EXPIRED/PRICE VAR/BONUS / FREE</v>
          </cell>
          <cell r="M16">
            <v>-3106435.54</v>
          </cell>
          <cell r="O16">
            <v>-3176335.31</v>
          </cell>
          <cell r="Q16">
            <v>-4017135.61</v>
          </cell>
          <cell r="W16">
            <v>-3793948.35</v>
          </cell>
          <cell r="Y16">
            <v>-3807484.8</v>
          </cell>
          <cell r="Z16">
            <v>-4.1077587419074801E-2</v>
          </cell>
          <cell r="AA16">
            <v>-2302262.92</v>
          </cell>
          <cell r="AB16">
            <v>-3.0533553221798872E-2</v>
          </cell>
          <cell r="AC16">
            <v>-1528408.42</v>
          </cell>
          <cell r="AD16">
            <v>-1.5466311970161323E-2</v>
          </cell>
          <cell r="AE16">
            <v>-2606441.5400000168</v>
          </cell>
          <cell r="AF16">
            <v>-2.8926041051574491E-2</v>
          </cell>
          <cell r="AG16">
            <v>-3892298.4799999902</v>
          </cell>
          <cell r="AH16">
            <v>-4.8207356423392252E-2</v>
          </cell>
          <cell r="AI16">
            <v>-3463728.66</v>
          </cell>
          <cell r="AJ16">
            <v>-2.6834284473146657E-2</v>
          </cell>
          <cell r="AO16">
            <v>-3066499.5099999784</v>
          </cell>
          <cell r="AQ16">
            <v>-34760979.139999986</v>
          </cell>
        </row>
        <row r="17">
          <cell r="M17">
            <v>65767165.520000003</v>
          </cell>
          <cell r="O17">
            <v>75411901.859999999</v>
          </cell>
          <cell r="Q17">
            <v>79984125.710000008</v>
          </cell>
          <cell r="W17">
            <v>72689502.339999989</v>
          </cell>
          <cell r="Y17">
            <v>71919817.960000083</v>
          </cell>
          <cell r="AA17">
            <v>58334224.449999988</v>
          </cell>
          <cell r="AC17">
            <v>78058327.809999943</v>
          </cell>
          <cell r="AD17">
            <v>0.78988994955849479</v>
          </cell>
          <cell r="AE17">
            <v>70836685.750000045</v>
          </cell>
          <cell r="AG17">
            <v>61102679.089999929</v>
          </cell>
          <cell r="AI17">
            <v>103319416.41000015</v>
          </cell>
          <cell r="AK17">
            <v>0</v>
          </cell>
          <cell r="AO17">
            <v>78538992.060000032</v>
          </cell>
          <cell r="AQ17">
            <v>815962838.96000004</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65767165.520000003</v>
          </cell>
          <cell r="N19">
            <v>0.79689894139979378</v>
          </cell>
          <cell r="O19">
            <v>75411901.859999999</v>
          </cell>
          <cell r="P19">
            <v>0.79884392599778564</v>
          </cell>
          <cell r="Q19">
            <v>79984125.710000008</v>
          </cell>
          <cell r="V19">
            <v>0.7924805874078501</v>
          </cell>
          <cell r="W19">
            <v>72689502.339999989</v>
          </cell>
          <cell r="X19">
            <v>0.78297566723181611</v>
          </cell>
          <cell r="Y19">
            <v>71919817.960000083</v>
          </cell>
          <cell r="Z19">
            <v>0.77591711184660528</v>
          </cell>
          <cell r="AA19">
            <v>58334224.449999988</v>
          </cell>
          <cell r="AB19">
            <v>0.77365236238806112</v>
          </cell>
          <cell r="AC19">
            <v>78058327.809999943</v>
          </cell>
          <cell r="AD19">
            <v>0.78988994955849479</v>
          </cell>
          <cell r="AE19">
            <v>70836685.750000045</v>
          </cell>
          <cell r="AF19">
            <v>0.7861388212689282</v>
          </cell>
          <cell r="AG19">
            <v>61102679.089999929</v>
          </cell>
          <cell r="AH19">
            <v>0.75677614254182035</v>
          </cell>
          <cell r="AI19">
            <v>103319416.41000015</v>
          </cell>
          <cell r="AJ19">
            <v>0.80043874208825605</v>
          </cell>
          <cell r="AK19">
            <v>0</v>
          </cell>
          <cell r="AL19" t="e">
            <v>#DIV/0!</v>
          </cell>
          <cell r="AO19">
            <v>78538992.060000032</v>
          </cell>
          <cell r="AP19">
            <v>0.78538188253058472</v>
          </cell>
          <cell r="AQ19">
            <v>815962838.96000004</v>
          </cell>
          <cell r="AR19">
            <v>0.78644233684769538</v>
          </cell>
        </row>
        <row r="20">
          <cell r="AL20" t="e">
            <v>#DIV/0!</v>
          </cell>
        </row>
        <row r="21">
          <cell r="J21" t="str">
            <v>GROSS PROFIT</v>
          </cell>
          <cell r="M21">
            <v>16690163.979999997</v>
          </cell>
          <cell r="N21">
            <v>0.20223425933426128</v>
          </cell>
          <cell r="O21">
            <v>18912261.840000018</v>
          </cell>
          <cell r="P21">
            <v>0.20033900651134859</v>
          </cell>
          <cell r="Q21">
            <v>20850113.590000033</v>
          </cell>
          <cell r="V21">
            <v>0.20658237017220782</v>
          </cell>
          <cell r="W21">
            <v>20014166.87000002</v>
          </cell>
          <cell r="X21">
            <v>0.21558278918775683</v>
          </cell>
          <cell r="Y21">
            <v>20666927.379999906</v>
          </cell>
          <cell r="Z21">
            <v>0.22296806441239547</v>
          </cell>
          <cell r="AA21">
            <v>16985291.179999903</v>
          </cell>
          <cell r="AB21">
            <v>0.22526588415552384</v>
          </cell>
          <cell r="AC21">
            <v>20677930.530000046</v>
          </cell>
          <cell r="AD21">
            <v>0.20924467589252355</v>
          </cell>
          <cell r="AE21">
            <v>19213803.779999912</v>
          </cell>
          <cell r="AF21">
            <v>0.21323297237549821</v>
          </cell>
          <cell r="AG21">
            <v>19558804.120000064</v>
          </cell>
          <cell r="AH21">
            <v>0.24224201876423371</v>
          </cell>
          <cell r="AI21">
            <v>25641877.22999987</v>
          </cell>
          <cell r="AJ21">
            <v>0.19865338643914399</v>
          </cell>
          <cell r="AK21">
            <v>0</v>
          </cell>
          <cell r="AL21" t="e">
            <v>#DIV/0!</v>
          </cell>
          <cell r="AO21">
            <v>21391712.280000046</v>
          </cell>
          <cell r="AP21">
            <v>0.21391493346622223</v>
          </cell>
          <cell r="AQ21">
            <v>220603052.77999985</v>
          </cell>
          <cell r="AR21">
            <v>0.21262191371994996</v>
          </cell>
        </row>
        <row r="22">
          <cell r="J22" t="str">
            <v>G/P %</v>
          </cell>
          <cell r="M22">
            <v>0.20223425933426128</v>
          </cell>
          <cell r="O22">
            <v>0.20033900651134859</v>
          </cell>
          <cell r="Q22">
            <v>0.20658237017220782</v>
          </cell>
          <cell r="W22">
            <v>0.21558278918775683</v>
          </cell>
          <cell r="Y22">
            <v>0.22296806441239547</v>
          </cell>
          <cell r="AA22">
            <v>0.22526588415552384</v>
          </cell>
          <cell r="AC22">
            <v>0.20924467589252355</v>
          </cell>
          <cell r="AE22">
            <v>0.21323297237549821</v>
          </cell>
          <cell r="AG22">
            <v>0.24224201876423371</v>
          </cell>
          <cell r="AI22">
            <v>0.19865338643914399</v>
          </cell>
          <cell r="AK22" t="e">
            <v>#DIV/0!</v>
          </cell>
          <cell r="AL22" t="e">
            <v>#DIV/0!</v>
          </cell>
          <cell r="AO22">
            <v>0.21391493346622223</v>
          </cell>
          <cell r="AQ22">
            <v>0.21262191371994996</v>
          </cell>
        </row>
        <row r="23">
          <cell r="AL23" t="e">
            <v>#DIV/0!</v>
          </cell>
        </row>
        <row r="24">
          <cell r="J24" t="str">
            <v>LESS-DEPRECIATION</v>
          </cell>
          <cell r="M24">
            <v>314031.92</v>
          </cell>
          <cell r="N24">
            <v>3.8051161645037356E-3</v>
          </cell>
          <cell r="O24">
            <v>315375.67</v>
          </cell>
          <cell r="P24">
            <v>3.3407980991474501E-3</v>
          </cell>
          <cell r="Q24">
            <v>315375.67</v>
          </cell>
          <cell r="V24">
            <v>3.124733739316187E-3</v>
          </cell>
          <cell r="W24">
            <v>315375.67</v>
          </cell>
          <cell r="X24">
            <v>3.3970720351327566E-3</v>
          </cell>
          <cell r="Y24">
            <v>316719.42</v>
          </cell>
          <cell r="Z24">
            <v>3.4169721865649123E-3</v>
          </cell>
          <cell r="AA24">
            <v>315375.67</v>
          </cell>
          <cell r="AB24">
            <v>4.1826412270955906E-3</v>
          </cell>
          <cell r="AC24">
            <v>315375.67</v>
          </cell>
          <cell r="AD24">
            <v>3.1913580402930827E-3</v>
          </cell>
          <cell r="AE24">
            <v>315375.6700000008</v>
          </cell>
          <cell r="AF24">
            <v>3.5000092797353799E-3</v>
          </cell>
          <cell r="AG24">
            <v>315375.67</v>
          </cell>
          <cell r="AH24">
            <v>3.9060281242758576E-3</v>
          </cell>
          <cell r="AI24">
            <v>315375.67</v>
          </cell>
          <cell r="AJ24">
            <v>2.4432862026464923E-3</v>
          </cell>
          <cell r="AL24" t="e">
            <v>#DIV/0!</v>
          </cell>
          <cell r="AO24">
            <v>315375.66999999987</v>
          </cell>
          <cell r="AP24">
            <v>3.1537244228920175E-3</v>
          </cell>
          <cell r="AQ24">
            <v>3469132.37</v>
          </cell>
          <cell r="AR24">
            <v>3.3436235544429351E-3</v>
          </cell>
        </row>
        <row r="25">
          <cell r="AL25" t="e">
            <v>#DIV/0!</v>
          </cell>
        </row>
        <row r="26">
          <cell r="J26" t="str">
            <v>LESS-ADMIN   EXPENSES</v>
          </cell>
          <cell r="AL26" t="e">
            <v>#DIV/0!</v>
          </cell>
        </row>
        <row r="27">
          <cell r="AL27" t="e">
            <v>#DIV/0!</v>
          </cell>
        </row>
        <row r="28">
          <cell r="J28" t="str">
            <v>SALARIES</v>
          </cell>
          <cell r="M28">
            <v>2931897.12</v>
          </cell>
          <cell r="N28">
            <v>3.5525717016199977E-2</v>
          </cell>
          <cell r="O28">
            <v>2841124.6</v>
          </cell>
          <cell r="P28">
            <v>3.0096245734875682E-2</v>
          </cell>
          <cell r="Q28">
            <v>2863892.51</v>
          </cell>
          <cell r="V28">
            <v>2.8375370718267266E-2</v>
          </cell>
          <cell r="W28">
            <v>2491338.4300000002</v>
          </cell>
          <cell r="X28">
            <v>2.6835475642761369E-2</v>
          </cell>
          <cell r="Y28">
            <v>3051005.83</v>
          </cell>
          <cell r="Z28">
            <v>3.291620722896435E-2</v>
          </cell>
          <cell r="AA28">
            <v>3049988.01</v>
          </cell>
          <cell r="AB28">
            <v>4.0450189428922145E-2</v>
          </cell>
          <cell r="AC28">
            <v>3119106.66</v>
          </cell>
          <cell r="AD28">
            <v>3.156294877763622E-2</v>
          </cell>
          <cell r="AE28">
            <v>3076794.76</v>
          </cell>
          <cell r="AF28">
            <v>3.4145976485253804E-2</v>
          </cell>
          <cell r="AG28">
            <v>3016922.9099999946</v>
          </cell>
          <cell r="AH28">
            <v>3.7365551170234983E-2</v>
          </cell>
          <cell r="AI28">
            <v>3041826.71</v>
          </cell>
          <cell r="AJ28">
            <v>2.3565715235371751E-2</v>
          </cell>
          <cell r="AL28" t="e">
            <v>#DIV/0!</v>
          </cell>
          <cell r="AO28">
            <v>3110917.5500000073</v>
          </cell>
          <cell r="AP28">
            <v>3.1108857113291036E-2</v>
          </cell>
          <cell r="AQ28">
            <v>32594815.09</v>
          </cell>
          <cell r="AR28">
            <v>3.1415575960751251E-2</v>
          </cell>
        </row>
        <row r="29">
          <cell r="J29" t="str">
            <v>MSPS / EPF</v>
          </cell>
          <cell r="M29">
            <v>342156.11799999996</v>
          </cell>
          <cell r="N29">
            <v>4.145896300559661E-3</v>
          </cell>
          <cell r="O29">
            <v>330965.15800000011</v>
          </cell>
          <cell r="P29">
            <v>3.5059387134411348E-3</v>
          </cell>
          <cell r="Q29">
            <v>339804.91799999977</v>
          </cell>
          <cell r="V29">
            <v>3.3667780779036301E-3</v>
          </cell>
          <cell r="W29">
            <v>281049.72799999994</v>
          </cell>
          <cell r="X29">
            <v>3.0273298237320197E-3</v>
          </cell>
          <cell r="Y29">
            <v>320203.80800000014</v>
          </cell>
          <cell r="Z29">
            <v>3.4545639985327451E-3</v>
          </cell>
          <cell r="AA29">
            <v>325499.88800000033</v>
          </cell>
          <cell r="AB29">
            <v>4.3169127503202729E-3</v>
          </cell>
          <cell r="AC29">
            <v>335491.00799999986</v>
          </cell>
          <cell r="AD29">
            <v>3.3949097145852454E-3</v>
          </cell>
          <cell r="AE29">
            <v>320089.29799999978</v>
          </cell>
          <cell r="AF29">
            <v>3.5523206763032156E-3</v>
          </cell>
          <cell r="AG29">
            <v>322917.53800000035</v>
          </cell>
          <cell r="AH29">
            <v>3.9994365616406596E-3</v>
          </cell>
          <cell r="AI29">
            <v>320912.34800000052</v>
          </cell>
          <cell r="AJ29">
            <v>2.486180091594545E-3</v>
          </cell>
          <cell r="AL29" t="e">
            <v>#DIV/0!</v>
          </cell>
          <cell r="AO29">
            <v>340676.96799999912</v>
          </cell>
          <cell r="AP29">
            <v>3.4067348134318668E-3</v>
          </cell>
          <cell r="AQ29">
            <v>3579766.7779999999</v>
          </cell>
          <cell r="AR29">
            <v>3.4502553496778485E-3</v>
          </cell>
        </row>
        <row r="30">
          <cell r="J30" t="str">
            <v xml:space="preserve">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84421.232000000004</v>
          </cell>
          <cell r="N32">
            <v>1.0229297534802195E-3</v>
          </cell>
          <cell r="O32">
            <v>84659.612000000008</v>
          </cell>
          <cell r="P32">
            <v>8.9680561231676714E-4</v>
          </cell>
          <cell r="Q32">
            <v>84951.35199999997</v>
          </cell>
          <cell r="V32">
            <v>8.4169573320264546E-4</v>
          </cell>
          <cell r="W32">
            <v>70262.452000000034</v>
          </cell>
          <cell r="X32">
            <v>7.5683267136319597E-4</v>
          </cell>
          <cell r="Y32">
            <v>80050.951999999947</v>
          </cell>
          <cell r="Z32">
            <v>8.636409996331853E-4</v>
          </cell>
          <cell r="AA32">
            <v>81375.052000000127</v>
          </cell>
          <cell r="AB32">
            <v>1.079229248572815E-3</v>
          </cell>
          <cell r="AC32">
            <v>83872.751999999993</v>
          </cell>
          <cell r="AD32">
            <v>8.4872742864631166E-4</v>
          </cell>
          <cell r="AE32">
            <v>80022.33199999998</v>
          </cell>
          <cell r="AF32">
            <v>8.8808025231009314E-4</v>
          </cell>
          <cell r="AG32">
            <v>80729.382000000056</v>
          </cell>
          <cell r="AH32">
            <v>9.9985910944686831E-4</v>
          </cell>
          <cell r="AI32">
            <v>80228.192000000025</v>
          </cell>
          <cell r="AJ32">
            <v>6.2154583635723633E-4</v>
          </cell>
          <cell r="AL32" t="e">
            <v>#DIV/0!</v>
          </cell>
          <cell r="AO32">
            <v>85169.2420000001</v>
          </cell>
          <cell r="AP32">
            <v>8.5168370335796995E-4</v>
          </cell>
          <cell r="AQ32">
            <v>895742.55200000014</v>
          </cell>
          <cell r="AR32">
            <v>8.6333572090938298E-4</v>
          </cell>
        </row>
        <row r="33">
          <cell r="J33" t="str">
            <v xml:space="preserve">BONUS  </v>
          </cell>
          <cell r="M33">
            <v>721010.3</v>
          </cell>
          <cell r="N33">
            <v>8.7364620364187434E-3</v>
          </cell>
          <cell r="O33">
            <v>819644.39</v>
          </cell>
          <cell r="P33">
            <v>8.6825544281487269E-3</v>
          </cell>
          <cell r="Q33">
            <v>586810.38</v>
          </cell>
          <cell r="V33">
            <v>5.8141016171823039E-3</v>
          </cell>
          <cell r="W33">
            <v>591532.77</v>
          </cell>
          <cell r="X33">
            <v>6.3717008697329663E-3</v>
          </cell>
          <cell r="Y33">
            <v>730616.27</v>
          </cell>
          <cell r="Z33">
            <v>7.8823567990930279E-3</v>
          </cell>
          <cell r="AA33">
            <v>741650.44</v>
          </cell>
          <cell r="AB33">
            <v>9.8360717123092758E-3</v>
          </cell>
          <cell r="AC33">
            <v>762464.60000000056</v>
          </cell>
          <cell r="AD33">
            <v>7.7155524763494005E-3</v>
          </cell>
          <cell r="AE33">
            <v>730377.73</v>
          </cell>
          <cell r="AF33">
            <v>8.105662788483509E-3</v>
          </cell>
          <cell r="AG33">
            <v>736269.85000000056</v>
          </cell>
          <cell r="AH33">
            <v>9.1189366039440192E-3</v>
          </cell>
          <cell r="AI33">
            <v>732093.25</v>
          </cell>
          <cell r="AJ33">
            <v>5.6716909607378062E-3</v>
          </cell>
          <cell r="AL33" t="e">
            <v>#DIV/0!</v>
          </cell>
          <cell r="AO33">
            <v>725985.23000000045</v>
          </cell>
          <cell r="AP33">
            <v>7.2597779990760895E-3</v>
          </cell>
          <cell r="AQ33">
            <v>7878455.21</v>
          </cell>
          <cell r="AR33">
            <v>7.5934226784144477E-3</v>
          </cell>
        </row>
        <row r="34">
          <cell r="J34" t="str">
            <v>GRATUITY</v>
          </cell>
          <cell r="M34">
            <v>231028.8</v>
          </cell>
          <cell r="N34">
            <v>2.7993696352456802E-3</v>
          </cell>
          <cell r="O34">
            <v>231448.8</v>
          </cell>
          <cell r="P34">
            <v>2.4517544777311398E-3</v>
          </cell>
          <cell r="Q34">
            <v>222310.12</v>
          </cell>
          <cell r="V34">
            <v>2.2026427484258069E-3</v>
          </cell>
          <cell r="W34">
            <v>233252.58</v>
          </cell>
          <cell r="X34">
            <v>2.5124823885132488E-3</v>
          </cell>
          <cell r="Y34">
            <v>241379</v>
          </cell>
          <cell r="Z34">
            <v>2.6041514265871413E-3</v>
          </cell>
          <cell r="AA34">
            <v>243953.64</v>
          </cell>
          <cell r="AB34">
            <v>3.2354130303204305E-3</v>
          </cell>
          <cell r="AC34">
            <v>248810.28</v>
          </cell>
          <cell r="AD34">
            <v>2.5177677389811755E-3</v>
          </cell>
          <cell r="AE34">
            <v>241323.34</v>
          </cell>
          <cell r="AF34">
            <v>2.6781835435077603E-3</v>
          </cell>
          <cell r="AG34">
            <v>242698.17</v>
          </cell>
          <cell r="AH34">
            <v>3.0058941380299987E-3</v>
          </cell>
          <cell r="AI34">
            <v>241723.62</v>
          </cell>
          <cell r="AJ34">
            <v>1.8726872164861791E-3</v>
          </cell>
          <cell r="AL34" t="e">
            <v>#DIV/0!</v>
          </cell>
          <cell r="AO34">
            <v>247831.2300000001</v>
          </cell>
          <cell r="AP34">
            <v>2.4782869357245266E-3</v>
          </cell>
          <cell r="AQ34">
            <v>2625759.58</v>
          </cell>
          <cell r="AR34">
            <v>2.5307629238696906E-3</v>
          </cell>
        </row>
        <row r="35">
          <cell r="J35" t="str">
            <v>OVER TIME</v>
          </cell>
          <cell r="M35">
            <v>87264.6</v>
          </cell>
          <cell r="N35">
            <v>1.0573827655766736E-3</v>
          </cell>
          <cell r="O35">
            <v>64425.24</v>
          </cell>
          <cell r="P35">
            <v>6.8246139383268932E-4</v>
          </cell>
          <cell r="Q35">
            <v>75940.66</v>
          </cell>
          <cell r="V35">
            <v>7.5241803683822283E-4</v>
          </cell>
          <cell r="W35">
            <v>100506.97</v>
          </cell>
          <cell r="X35">
            <v>1.0826117852494042E-3</v>
          </cell>
          <cell r="Y35">
            <v>92352.28</v>
          </cell>
          <cell r="Z35">
            <v>9.9635561382960041E-4</v>
          </cell>
          <cell r="AA35">
            <v>106676.69</v>
          </cell>
          <cell r="AB35">
            <v>1.414789928354638E-3</v>
          </cell>
          <cell r="AC35">
            <v>81760.91</v>
          </cell>
          <cell r="AD35">
            <v>8.2735721975693035E-4</v>
          </cell>
          <cell r="AE35">
            <v>63057.080000000075</v>
          </cell>
          <cell r="AF35">
            <v>6.9980149436706996E-4</v>
          </cell>
          <cell r="AG35">
            <v>78349.039999999892</v>
          </cell>
          <cell r="AH35">
            <v>9.7037781560642812E-4</v>
          </cell>
          <cell r="AI35">
            <v>88459.04</v>
          </cell>
          <cell r="AJ35">
            <v>6.8531206586530332E-4</v>
          </cell>
          <cell r="AL35" t="e">
            <v>#DIV/0!</v>
          </cell>
          <cell r="AO35">
            <v>66295.250000000073</v>
          </cell>
          <cell r="AP35">
            <v>6.6294571501578526E-4</v>
          </cell>
          <cell r="AQ35">
            <v>905087.76</v>
          </cell>
          <cell r="AR35">
            <v>8.7234283111946927E-4</v>
          </cell>
        </row>
        <row r="36">
          <cell r="J36" t="str">
            <v>BATTA &amp; ALLOW</v>
          </cell>
          <cell r="M36">
            <v>28675</v>
          </cell>
          <cell r="N36">
            <v>3.4745418878802072E-4</v>
          </cell>
          <cell r="O36">
            <v>26145</v>
          </cell>
          <cell r="P36">
            <v>2.7695594369156658E-4</v>
          </cell>
          <cell r="Q36">
            <v>29715</v>
          </cell>
          <cell r="V36">
            <v>2.9441542863398591E-4</v>
          </cell>
          <cell r="W36">
            <v>30925</v>
          </cell>
          <cell r="X36">
            <v>3.3310893223462834E-4</v>
          </cell>
          <cell r="Y36">
            <v>30680</v>
          </cell>
          <cell r="Z36">
            <v>3.3099551231753177E-4</v>
          </cell>
          <cell r="AA36">
            <v>29631</v>
          </cell>
          <cell r="AB36">
            <v>3.9297845074754643E-4</v>
          </cell>
          <cell r="AC36">
            <v>38055</v>
          </cell>
          <cell r="AD36">
            <v>3.850871889494623E-4</v>
          </cell>
          <cell r="AE36">
            <v>57510</v>
          </cell>
          <cell r="AF36">
            <v>6.3824052653643564E-4</v>
          </cell>
          <cell r="AG36">
            <v>82587.5</v>
          </cell>
          <cell r="AH36">
            <v>1.0228724927120484E-3</v>
          </cell>
          <cell r="AI36">
            <v>54175</v>
          </cell>
          <cell r="AJ36">
            <v>4.1970590194346233E-4</v>
          </cell>
          <cell r="AL36" t="e">
            <v>#DIV/0!</v>
          </cell>
          <cell r="AO36">
            <v>47235</v>
          </cell>
          <cell r="AP36">
            <v>4.7234516573616637E-4</v>
          </cell>
          <cell r="AQ36">
            <v>455333.5</v>
          </cell>
          <cell r="AR36">
            <v>4.3886011064113483E-4</v>
          </cell>
        </row>
        <row r="37">
          <cell r="J37" t="str">
            <v>MEDICAL  BENIFIT</v>
          </cell>
          <cell r="M37">
            <v>4500</v>
          </cell>
          <cell r="N37">
            <v>5.4526376618869859E-5</v>
          </cell>
          <cell r="O37">
            <v>4500</v>
          </cell>
          <cell r="P37">
            <v>4.7668837124193903E-5</v>
          </cell>
          <cell r="Q37">
            <v>4500</v>
          </cell>
          <cell r="V37">
            <v>4.4585880156585453E-5</v>
          </cell>
          <cell r="W37">
            <v>4500</v>
          </cell>
          <cell r="X37">
            <v>4.8471792887819803E-5</v>
          </cell>
          <cell r="Y37">
            <v>0</v>
          </cell>
          <cell r="Z37">
            <v>0</v>
          </cell>
          <cell r="AA37">
            <v>4500</v>
          </cell>
          <cell r="AB37">
            <v>5.9680841968342578E-5</v>
          </cell>
          <cell r="AC37">
            <v>0</v>
          </cell>
          <cell r="AD37">
            <v>0</v>
          </cell>
          <cell r="AE37">
            <v>0</v>
          </cell>
          <cell r="AF37">
            <v>0</v>
          </cell>
          <cell r="AG37">
            <v>4500</v>
          </cell>
          <cell r="AH37">
            <v>5.5733933309571279E-5</v>
          </cell>
          <cell r="AI37">
            <v>4500</v>
          </cell>
          <cell r="AJ37">
            <v>3.4862511467384964E-5</v>
          </cell>
          <cell r="AL37" t="e">
            <v>#DIV/0!</v>
          </cell>
          <cell r="AO37">
            <v>4500</v>
          </cell>
          <cell r="AP37">
            <v>4.499953944771353E-5</v>
          </cell>
          <cell r="AQ37">
            <v>36000</v>
          </cell>
          <cell r="AR37">
            <v>3.4697565593308757E-5</v>
          </cell>
        </row>
        <row r="38">
          <cell r="J38" t="str">
            <v>STAFF  WELFARE</v>
          </cell>
          <cell r="M38">
            <v>122606.15</v>
          </cell>
          <cell r="N38">
            <v>1.4856153579310334E-3</v>
          </cell>
          <cell r="O38">
            <v>139065.12</v>
          </cell>
          <cell r="P38">
            <v>1.473127234430329E-3</v>
          </cell>
          <cell r="Q38">
            <v>126087.27</v>
          </cell>
          <cell r="V38">
            <v>1.2492693132202294E-3</v>
          </cell>
          <cell r="W38">
            <v>238344.38</v>
          </cell>
          <cell r="X38">
            <v>2.5673287607412935E-3</v>
          </cell>
          <cell r="Y38">
            <v>116512.61</v>
          </cell>
          <cell r="Z38">
            <v>1.2570127457106511E-3</v>
          </cell>
          <cell r="AA38">
            <v>520059.62</v>
          </cell>
          <cell r="AB38">
            <v>6.8972435545191762E-3</v>
          </cell>
          <cell r="AC38">
            <v>160461.82999999999</v>
          </cell>
          <cell r="AD38">
            <v>1.6237497056467349E-3</v>
          </cell>
          <cell r="AE38">
            <v>104285.58</v>
          </cell>
          <cell r="AF38">
            <v>1.1573514778187722E-3</v>
          </cell>
          <cell r="AG38">
            <v>586356.92000000004</v>
          </cell>
          <cell r="AH38">
            <v>7.2622172166412506E-3</v>
          </cell>
          <cell r="AI38">
            <v>258169.81</v>
          </cell>
          <cell r="AJ38">
            <v>2.0000995470350219E-3</v>
          </cell>
          <cell r="AL38" t="e">
            <v>#DIV/0!</v>
          </cell>
          <cell r="AO38">
            <v>167706.69</v>
          </cell>
          <cell r="AP38">
            <v>1.6770497360667699E-3</v>
          </cell>
          <cell r="AQ38">
            <v>2539655.98</v>
          </cell>
          <cell r="AR38">
            <v>2.4477744430691341E-3</v>
          </cell>
        </row>
        <row r="39">
          <cell r="J39" t="str">
            <v>AUDIT  FEES</v>
          </cell>
          <cell r="M39">
            <v>15950</v>
          </cell>
          <cell r="N39">
            <v>1.9326571268243873E-4</v>
          </cell>
          <cell r="O39">
            <v>15950</v>
          </cell>
          <cell r="P39">
            <v>1.6895954491797619E-4</v>
          </cell>
          <cell r="Q39">
            <v>15950</v>
          </cell>
          <cell r="V39">
            <v>1.5803217522167509E-4</v>
          </cell>
          <cell r="W39">
            <v>33700.699999999997</v>
          </cell>
          <cell r="X39">
            <v>3.6300741123878862E-4</v>
          </cell>
          <cell r="Y39">
            <v>-1800.7</v>
          </cell>
          <cell r="Z39">
            <v>-1.9427106226537792E-5</v>
          </cell>
          <cell r="AA39">
            <v>15950</v>
          </cell>
          <cell r="AB39">
            <v>2.1153542875445869E-4</v>
          </cell>
          <cell r="AC39">
            <v>15950</v>
          </cell>
          <cell r="AD39">
            <v>1.6140167294032123E-4</v>
          </cell>
          <cell r="AE39">
            <v>14996.7</v>
          </cell>
          <cell r="AF39">
            <v>1.6643195451763112E-4</v>
          </cell>
          <cell r="AG39">
            <v>15950</v>
          </cell>
          <cell r="AH39">
            <v>1.9754583028614711E-4</v>
          </cell>
          <cell r="AI39">
            <v>15950</v>
          </cell>
          <cell r="AJ39">
            <v>1.2356823508995337E-4</v>
          </cell>
          <cell r="AL39" t="e">
            <v>#DIV/0!</v>
          </cell>
          <cell r="AO39">
            <v>15950.000000000015</v>
          </cell>
          <cell r="AP39">
            <v>1.5949836759800699E-4</v>
          </cell>
          <cell r="AQ39">
            <v>174496.7</v>
          </cell>
          <cell r="AR39">
            <v>1.6818363039072001E-4</v>
          </cell>
        </row>
        <row r="40">
          <cell r="J40" t="str">
            <v>ELECTRICITY</v>
          </cell>
          <cell r="M40">
            <v>239454.06</v>
          </cell>
          <cell r="N40">
            <v>2.901458279661658E-3</v>
          </cell>
          <cell r="O40">
            <v>155788.81</v>
          </cell>
          <cell r="P40">
            <v>1.6502825354804424E-3</v>
          </cell>
          <cell r="Q40">
            <v>188178.48</v>
          </cell>
          <cell r="V40">
            <v>1.8644673682952028E-3</v>
          </cell>
          <cell r="W40">
            <v>367292.86</v>
          </cell>
          <cell r="X40">
            <v>3.9562985420211099E-3</v>
          </cell>
          <cell r="Y40">
            <v>210569.61</v>
          </cell>
          <cell r="Z40">
            <v>2.2717599719834698E-3</v>
          </cell>
          <cell r="AA40">
            <v>197385.71</v>
          </cell>
          <cell r="AB40">
            <v>2.6178100811820215E-3</v>
          </cell>
          <cell r="AC40">
            <v>331608.02</v>
          </cell>
          <cell r="AD40">
            <v>3.355616877017398E-3</v>
          </cell>
          <cell r="AE40">
            <v>207719.84</v>
          </cell>
          <cell r="AF40">
            <v>2.3052550870051153E-3</v>
          </cell>
          <cell r="AG40">
            <v>233088.87</v>
          </cell>
          <cell r="AH40">
            <v>2.8868798968407399E-3</v>
          </cell>
          <cell r="AI40">
            <v>196054.89</v>
          </cell>
          <cell r="AJ40">
            <v>1.518881300191533E-3</v>
          </cell>
          <cell r="AL40" t="e">
            <v>#DIV/0!</v>
          </cell>
          <cell r="AO40">
            <v>103099.85999999999</v>
          </cell>
          <cell r="AP40">
            <v>1.0309880482497205E-3</v>
          </cell>
          <cell r="AQ40">
            <v>2430241.0099999998</v>
          </cell>
          <cell r="AR40">
            <v>2.3423179681117757E-3</v>
          </cell>
        </row>
        <row r="41">
          <cell r="J41" t="str">
            <v xml:space="preserve"> WATER</v>
          </cell>
          <cell r="M41">
            <v>38193.449999999997</v>
          </cell>
          <cell r="N41">
            <v>4.627889864608833E-4</v>
          </cell>
          <cell r="O41">
            <v>35381.06</v>
          </cell>
          <cell r="P41">
            <v>3.7479421920474042E-4</v>
          </cell>
          <cell r="Q41">
            <v>35415.839999999997</v>
          </cell>
          <cell r="V41">
            <v>3.5089919952995669E-4</v>
          </cell>
          <cell r="W41">
            <v>39964.29</v>
          </cell>
          <cell r="X41">
            <v>4.3047573061972627E-4</v>
          </cell>
          <cell r="Y41">
            <v>41727.910000000003</v>
          </cell>
          <cell r="Z41">
            <v>4.501874494260058E-4</v>
          </cell>
          <cell r="AA41">
            <v>39298.33</v>
          </cell>
          <cell r="AB41">
            <v>5.2119053829995034E-4</v>
          </cell>
          <cell r="AC41">
            <v>38200.160000000003</v>
          </cell>
          <cell r="AD41">
            <v>3.8655609596162643E-4</v>
          </cell>
          <cell r="AE41">
            <v>37150.61</v>
          </cell>
          <cell r="AF41">
            <v>4.1229394692313988E-4</v>
          </cell>
          <cell r="AG41">
            <v>31587.87</v>
          </cell>
          <cell r="AH41">
            <v>3.9122583110475721E-4</v>
          </cell>
          <cell r="AI41">
            <v>31919.34</v>
          </cell>
          <cell r="AJ41">
            <v>2.472863015069688E-4</v>
          </cell>
          <cell r="AL41" t="e">
            <v>#DIV/0!</v>
          </cell>
          <cell r="AO41">
            <v>31648.719999999954</v>
          </cell>
          <cell r="AP41">
            <v>3.1648396091325294E-4</v>
          </cell>
          <cell r="AQ41">
            <v>400487.58</v>
          </cell>
          <cell r="AR41">
            <v>3.8599844656543028E-4</v>
          </cell>
        </row>
        <row r="42">
          <cell r="J42" t="str">
            <v>TELEPHONE</v>
          </cell>
          <cell r="M42">
            <v>219418.32</v>
          </cell>
          <cell r="N42">
            <v>2.6586857674221567E-3</v>
          </cell>
          <cell r="O42">
            <v>233530.97</v>
          </cell>
          <cell r="P42">
            <v>2.4738110605300027E-3</v>
          </cell>
          <cell r="Q42">
            <v>199568.24</v>
          </cell>
          <cell r="V42">
            <v>1.9773168070445959E-3</v>
          </cell>
          <cell r="W42">
            <v>193552.93</v>
          </cell>
          <cell r="X42">
            <v>2.0848572301757078E-3</v>
          </cell>
          <cell r="Y42">
            <v>347096.5</v>
          </cell>
          <cell r="Z42">
            <v>3.744699603687163E-3</v>
          </cell>
          <cell r="AA42">
            <v>362750.2</v>
          </cell>
          <cell r="AB42">
            <v>4.8109416355965927E-3</v>
          </cell>
          <cell r="AC42">
            <v>274066.8</v>
          </cell>
          <cell r="AD42">
            <v>2.7733442017178951E-3</v>
          </cell>
          <cell r="AE42">
            <v>285666.27</v>
          </cell>
          <cell r="AF42">
            <v>3.1702971757694245E-3</v>
          </cell>
          <cell r="AG42">
            <v>131048.02</v>
          </cell>
          <cell r="AH42">
            <v>1.623071468229192E-3</v>
          </cell>
          <cell r="AI42">
            <v>289119.5</v>
          </cell>
          <cell r="AJ42">
            <v>2.2398737520432461E-3</v>
          </cell>
          <cell r="AL42" t="e">
            <v>#DIV/0!</v>
          </cell>
          <cell r="AO42">
            <v>333600.2899999998</v>
          </cell>
          <cell r="AP42">
            <v>3.3359687576941478E-3</v>
          </cell>
          <cell r="AQ42">
            <v>2869418.04</v>
          </cell>
          <cell r="AR42">
            <v>2.7656061293756516E-3</v>
          </cell>
        </row>
        <row r="43">
          <cell r="J43" t="str">
            <v>CASHERING CHARGES</v>
          </cell>
          <cell r="M43">
            <v>10945.95</v>
          </cell>
          <cell r="N43">
            <v>1.3263177603362635E-4</v>
          </cell>
          <cell r="O43">
            <v>19949.34</v>
          </cell>
          <cell r="P43">
            <v>2.1132485315448143E-4</v>
          </cell>
          <cell r="Q43">
            <v>16020.33</v>
          </cell>
          <cell r="V43">
            <v>1.5872900298865569E-4</v>
          </cell>
          <cell r="W43">
            <v>19026.060000000001</v>
          </cell>
          <cell r="X43">
            <v>2.0493938662027397E-4</v>
          </cell>
          <cell r="Y43">
            <v>15114.65</v>
          </cell>
          <cell r="Z43">
            <v>1.6306653586213108E-4</v>
          </cell>
          <cell r="AA43">
            <v>15648</v>
          </cell>
          <cell r="AB43">
            <v>2.0753018113791661E-4</v>
          </cell>
          <cell r="AC43">
            <v>16020</v>
          </cell>
          <cell r="AD43">
            <v>1.6211001884037279E-4</v>
          </cell>
          <cell r="AE43">
            <v>15906</v>
          </cell>
          <cell r="AF43">
            <v>1.7652327969202826E-4</v>
          </cell>
          <cell r="AG43">
            <v>15648</v>
          </cell>
          <cell r="AH43">
            <v>1.9380546409514921E-4</v>
          </cell>
          <cell r="AI43">
            <v>19249.2</v>
          </cell>
          <cell r="AJ43">
            <v>1.4912787905288594E-4</v>
          </cell>
          <cell r="AL43" t="e">
            <v>#DIV/0!</v>
          </cell>
          <cell r="AO43">
            <v>15620.8</v>
          </cell>
          <cell r="AP43">
            <v>1.5620640128996522E-4</v>
          </cell>
          <cell r="AQ43">
            <v>179148.33</v>
          </cell>
          <cell r="AR43">
            <v>1.7266697030852009E-4</v>
          </cell>
        </row>
        <row r="44">
          <cell r="J44" t="str">
            <v>FAX</v>
          </cell>
          <cell r="M44">
            <v>31000</v>
          </cell>
          <cell r="N44">
            <v>3.7562615004110345E-4</v>
          </cell>
          <cell r="O44">
            <v>38553.620000000003</v>
          </cell>
          <cell r="P44">
            <v>4.0840138496179218E-4</v>
          </cell>
          <cell r="Q44">
            <v>21058.31</v>
          </cell>
          <cell r="V44">
            <v>2.0864517465782778E-4</v>
          </cell>
          <cell r="W44">
            <v>30021.200000000001</v>
          </cell>
          <cell r="X44">
            <v>3.2337364192084797E-4</v>
          </cell>
          <cell r="Y44">
            <v>28314.09</v>
          </cell>
          <cell r="Z44">
            <v>3.0547055819278693E-4</v>
          </cell>
          <cell r="AA44">
            <v>45285.75</v>
          </cell>
          <cell r="AB44">
            <v>6.0059815314841554E-4</v>
          </cell>
          <cell r="AC44">
            <v>13787.57</v>
          </cell>
          <cell r="AD44">
            <v>1.3951955258819965E-4</v>
          </cell>
          <cell r="AE44">
            <v>23927.19</v>
          </cell>
          <cell r="AF44">
            <v>2.6554168569183339E-4</v>
          </cell>
          <cell r="AG44">
            <v>27036.09</v>
          </cell>
          <cell r="AH44">
            <v>3.3485058600257045E-4</v>
          </cell>
          <cell r="AI44">
            <v>10000</v>
          </cell>
          <cell r="AJ44">
            <v>7.7472247705299922E-5</v>
          </cell>
          <cell r="AL44" t="e">
            <v>#DIV/0!</v>
          </cell>
          <cell r="AO44">
            <v>9361.6799999999894</v>
          </cell>
          <cell r="AP44">
            <v>9.3615841879304514E-5</v>
          </cell>
          <cell r="AQ44">
            <v>278345.5</v>
          </cell>
          <cell r="AR44">
            <v>2.6827531232923117E-4</v>
          </cell>
        </row>
        <row r="45">
          <cell r="J45" t="str">
            <v>INSURANCE EXPENSES</v>
          </cell>
          <cell r="M45">
            <v>165990.57999999999</v>
          </cell>
          <cell r="N45">
            <v>2.0113033067254769E-3</v>
          </cell>
          <cell r="O45">
            <v>133150.51999999999</v>
          </cell>
          <cell r="P45">
            <v>1.4104734335292717E-3</v>
          </cell>
          <cell r="Q45">
            <v>139690.98000000001</v>
          </cell>
          <cell r="V45">
            <v>1.3840545096079945E-3</v>
          </cell>
          <cell r="W45">
            <v>143596.81</v>
          </cell>
          <cell r="X45">
            <v>1.5467544074825805E-3</v>
          </cell>
          <cell r="Y45">
            <v>138039.97</v>
          </cell>
          <cell r="Z45">
            <v>1.4892637089454601E-3</v>
          </cell>
          <cell r="AA45">
            <v>134987.51</v>
          </cell>
          <cell r="AB45">
            <v>1.790259611557792E-3</v>
          </cell>
          <cell r="AC45">
            <v>133870.09</v>
          </cell>
          <cell r="AD45">
            <v>1.3546618484433458E-3</v>
          </cell>
          <cell r="AE45">
            <v>134814.74</v>
          </cell>
          <cell r="AF45">
            <v>1.4961612005298674E-3</v>
          </cell>
          <cell r="AG45">
            <v>200584.07</v>
          </cell>
          <cell r="AH45">
            <v>2.4842975956316398E-3</v>
          </cell>
          <cell r="AI45">
            <v>185716.34</v>
          </cell>
          <cell r="AJ45">
            <v>1.4387862295401699E-3</v>
          </cell>
          <cell r="AL45" t="e">
            <v>#DIV/0!</v>
          </cell>
          <cell r="AO45">
            <v>197512.26000000004</v>
          </cell>
          <cell r="AP45">
            <v>1.9751023856171227E-3</v>
          </cell>
          <cell r="AQ45">
            <v>1707953.87</v>
          </cell>
          <cell r="AR45">
            <v>1.6461622620741819E-3</v>
          </cell>
        </row>
        <row r="46">
          <cell r="J46" t="str">
            <v>REP  &amp; MAINT- OFFICE</v>
          </cell>
          <cell r="M46">
            <v>183649.96</v>
          </cell>
          <cell r="N46">
            <v>2.2252815300000854E-3</v>
          </cell>
          <cell r="O46">
            <v>181615.95</v>
          </cell>
          <cell r="P46">
            <v>1.9238713643790542E-3</v>
          </cell>
          <cell r="Q46">
            <v>183609.48</v>
          </cell>
          <cell r="V46">
            <v>1.8191978379762165E-3</v>
          </cell>
          <cell r="W46">
            <v>189229.86</v>
          </cell>
          <cell r="X46">
            <v>2.0382912404691414E-3</v>
          </cell>
          <cell r="Y46">
            <v>248818.14</v>
          </cell>
          <cell r="Z46">
            <v>2.6844096389568237E-3</v>
          </cell>
          <cell r="AA46">
            <v>174722.38</v>
          </cell>
          <cell r="AB46">
            <v>2.3172397220250448E-3</v>
          </cell>
          <cell r="AC46">
            <v>198940.37</v>
          </cell>
          <cell r="AD46">
            <v>2.0131227920605951E-3</v>
          </cell>
          <cell r="AE46">
            <v>168788.25</v>
          </cell>
          <cell r="AF46">
            <v>1.8731959929258136E-3</v>
          </cell>
          <cell r="AG46">
            <v>194826.35</v>
          </cell>
          <cell r="AH46">
            <v>2.4129863995215987E-3</v>
          </cell>
          <cell r="AI46">
            <v>199874.73</v>
          </cell>
          <cell r="AJ46">
            <v>1.5484744592589943E-3</v>
          </cell>
          <cell r="AL46" t="e">
            <v>#DIV/0!</v>
          </cell>
          <cell r="AO46">
            <v>264941.94000000006</v>
          </cell>
          <cell r="AP46">
            <v>2.6493922845297231E-3</v>
          </cell>
          <cell r="AQ46">
            <v>2189017.41</v>
          </cell>
          <cell r="AR46">
            <v>2.1098215324547183E-3</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1.3481310978875052E-3</v>
          </cell>
          <cell r="O48">
            <v>49804.94</v>
          </cell>
          <cell r="P48">
            <v>5.2758746063116672E-4</v>
          </cell>
          <cell r="Q48">
            <v>68885.149999999994</v>
          </cell>
          <cell r="V48">
            <v>6.8251223165964711E-4</v>
          </cell>
          <cell r="W48">
            <v>126443.86</v>
          </cell>
          <cell r="X48">
            <v>1.3619912430792185E-3</v>
          </cell>
          <cell r="Y48">
            <v>57125.62</v>
          </cell>
          <cell r="Z48">
            <v>6.1630781806899088E-4</v>
          </cell>
          <cell r="AA48">
            <v>35900.589999999997</v>
          </cell>
          <cell r="AB48">
            <v>4.7612831963561326E-4</v>
          </cell>
          <cell r="AC48">
            <v>75789.730000000069</v>
          </cell>
          <cell r="AD48">
            <v>7.6693349302164654E-4</v>
          </cell>
          <cell r="AE48">
            <v>68304.42</v>
          </cell>
          <cell r="AF48">
            <v>7.5803597610095376E-4</v>
          </cell>
          <cell r="AG48">
            <v>127418</v>
          </cell>
          <cell r="AH48">
            <v>1.5781125143197676E-3</v>
          </cell>
          <cell r="AI48">
            <v>130390.39999999999</v>
          </cell>
          <cell r="AJ48">
            <v>1.0101637367193139E-3</v>
          </cell>
          <cell r="AL48" t="e">
            <v>#DIV/0!</v>
          </cell>
          <cell r="AO48">
            <v>153501.25999999998</v>
          </cell>
          <cell r="AP48">
            <v>1.5349968899208289E-3</v>
          </cell>
          <cell r="AQ48">
            <v>1004823.7</v>
          </cell>
          <cell r="AR48">
            <v>9.6847045112392221E-4</v>
          </cell>
        </row>
        <row r="49">
          <cell r="J49" t="str">
            <v>POSTAGE  &amp;  TELEG.</v>
          </cell>
          <cell r="M49">
            <v>70268.55</v>
          </cell>
          <cell r="N49">
            <v>8.5144209372486391E-4</v>
          </cell>
          <cell r="O49">
            <v>40105.65</v>
          </cell>
          <cell r="P49">
            <v>4.2484215502442828E-4</v>
          </cell>
          <cell r="Q49">
            <v>73097.59</v>
          </cell>
          <cell r="V49">
            <v>7.2424897499449305E-4</v>
          </cell>
          <cell r="W49">
            <v>63335.87</v>
          </cell>
          <cell r="X49">
            <v>6.8222292733552891E-4</v>
          </cell>
          <cell r="Y49">
            <v>56123.56</v>
          </cell>
          <cell r="Z49">
            <v>6.0549695225827025E-4</v>
          </cell>
          <cell r="AA49">
            <v>61131.72</v>
          </cell>
          <cell r="AB49">
            <v>8.1075389346065951E-4</v>
          </cell>
          <cell r="AC49">
            <v>50074.84</v>
          </cell>
          <cell r="AD49">
            <v>5.0671868013911687E-4</v>
          </cell>
          <cell r="AE49">
            <v>79271.47</v>
          </cell>
          <cell r="AF49">
            <v>8.7974725703559849E-4</v>
          </cell>
          <cell r="AG49">
            <v>56416.04</v>
          </cell>
          <cell r="AH49">
            <v>6.9873062465557905E-4</v>
          </cell>
          <cell r="AI49">
            <v>71222.25</v>
          </cell>
          <cell r="AJ49">
            <v>5.5177477941287972E-4</v>
          </cell>
          <cell r="AL49" t="e">
            <v>#DIV/0!</v>
          </cell>
          <cell r="AO49">
            <v>58112.659999999916</v>
          </cell>
          <cell r="AP49">
            <v>5.8112065246256896E-4</v>
          </cell>
          <cell r="AQ49">
            <v>679160.2</v>
          </cell>
          <cell r="AR49">
            <v>6.5458904410735255E-4</v>
          </cell>
        </row>
        <row r="50">
          <cell r="J50" t="str">
            <v>PRINTING &amp; STATIONERY</v>
          </cell>
          <cell r="M50">
            <v>84817.18</v>
          </cell>
          <cell r="N50">
            <v>1.0277274445401057E-3</v>
          </cell>
          <cell r="O50">
            <v>72743.77</v>
          </cell>
          <cell r="P50">
            <v>7.7058020531773849E-4</v>
          </cell>
          <cell r="Q50">
            <v>89720.27</v>
          </cell>
          <cell r="V50">
            <v>8.8894604574144204E-4</v>
          </cell>
          <cell r="W50">
            <v>88534.3</v>
          </cell>
          <cell r="X50">
            <v>9.5364805623735665E-4</v>
          </cell>
          <cell r="Y50">
            <v>106609.7</v>
          </cell>
          <cell r="Z50">
            <v>1.1501738027874305E-3</v>
          </cell>
          <cell r="AA50">
            <v>126135.76</v>
          </cell>
          <cell r="AB50">
            <v>1.6728640798037305E-3</v>
          </cell>
          <cell r="AC50">
            <v>113988.72</v>
          </cell>
          <cell r="AD50">
            <v>1.1534777494875143E-3</v>
          </cell>
          <cell r="AE50">
            <v>136055.81</v>
          </cell>
          <cell r="AF50">
            <v>1.5099344777037254E-3</v>
          </cell>
          <cell r="AG50">
            <v>111610.82</v>
          </cell>
          <cell r="AH50">
            <v>1.3823355552236812E-3</v>
          </cell>
          <cell r="AI50">
            <v>116747.48</v>
          </cell>
          <cell r="AJ50">
            <v>9.0446896895295483E-4</v>
          </cell>
          <cell r="AL50" t="e">
            <v>#DIV/0!</v>
          </cell>
          <cell r="AO50">
            <v>181370.54999999993</v>
          </cell>
          <cell r="AP50">
            <v>1.8136869376396659E-3</v>
          </cell>
          <cell r="AQ50">
            <v>1228334.3599999999</v>
          </cell>
          <cell r="AR50">
            <v>1.1838947785170813E-3</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362257.91999999998</v>
          </cell>
          <cell r="N52">
            <v>4.3894692842418731E-3</v>
          </cell>
          <cell r="O52">
            <v>312533.57</v>
          </cell>
          <cell r="P52">
            <v>3.310691520927301E-3</v>
          </cell>
          <cell r="Q52">
            <v>388478.63</v>
          </cell>
          <cell r="V52">
            <v>3.849035920127667E-3</v>
          </cell>
          <cell r="W52">
            <v>379768.7</v>
          </cell>
          <cell r="X52">
            <v>4.0906821714836832E-3</v>
          </cell>
          <cell r="Y52">
            <v>362734.33</v>
          </cell>
          <cell r="Z52">
            <v>3.9134105408574526E-3</v>
          </cell>
          <cell r="AA52">
            <v>411246.23</v>
          </cell>
          <cell r="AB52">
            <v>5.4541158361570367E-3</v>
          </cell>
          <cell r="AC52">
            <v>406202.43</v>
          </cell>
          <cell r="AD52">
            <v>4.1104546554497634E-3</v>
          </cell>
          <cell r="AE52">
            <v>364219.14000000054</v>
          </cell>
          <cell r="AF52">
            <v>4.0420694781472463E-3</v>
          </cell>
          <cell r="AG52">
            <v>343807.77</v>
          </cell>
          <cell r="AH52">
            <v>4.2581687387760938E-3</v>
          </cell>
          <cell r="AI52">
            <v>517304.69999999949</v>
          </cell>
          <cell r="AJ52">
            <v>4.0076757857515823E-3</v>
          </cell>
          <cell r="AL52" t="e">
            <v>#DIV/0!</v>
          </cell>
          <cell r="AO52">
            <v>642084.5</v>
          </cell>
          <cell r="AP52">
            <v>6.4207792858923156E-3</v>
          </cell>
          <cell r="AQ52">
            <v>4490637.92</v>
          </cell>
          <cell r="AR52">
            <v>4.3281723273611E-3</v>
          </cell>
        </row>
        <row r="53">
          <cell r="J53" t="str">
            <v>LEGAL CHARGES</v>
          </cell>
          <cell r="M53">
            <v>0</v>
          </cell>
          <cell r="N53">
            <v>0</v>
          </cell>
          <cell r="O53">
            <v>80500</v>
          </cell>
          <cell r="P53">
            <v>8.5274253077724657E-4</v>
          </cell>
          <cell r="Q53">
            <v>30840.58</v>
          </cell>
          <cell r="V53">
            <v>3.0556764529768581E-4</v>
          </cell>
          <cell r="W53">
            <v>20077.310000000001</v>
          </cell>
          <cell r="X53">
            <v>2.1626293601434521E-4</v>
          </cell>
          <cell r="Y53">
            <v>54596.65</v>
          </cell>
          <cell r="Z53">
            <v>5.8902366810857144E-4</v>
          </cell>
          <cell r="AA53">
            <v>50000</v>
          </cell>
          <cell r="AB53">
            <v>6.6312046631491757E-4</v>
          </cell>
          <cell r="AC53">
            <v>50000</v>
          </cell>
          <cell r="AD53">
            <v>5.0596135717969031E-4</v>
          </cell>
          <cell r="AE53">
            <v>54800</v>
          </cell>
          <cell r="AF53">
            <v>6.0816520351585242E-4</v>
          </cell>
          <cell r="AG53">
            <v>50000</v>
          </cell>
          <cell r="AH53">
            <v>6.1926592566190317E-4</v>
          </cell>
          <cell r="AI53">
            <v>50001.51</v>
          </cell>
          <cell r="AJ53">
            <v>3.873729368359031E-4</v>
          </cell>
          <cell r="AL53" t="e">
            <v>#DIV/0!</v>
          </cell>
          <cell r="AO53">
            <v>68093.25</v>
          </cell>
          <cell r="AP53">
            <v>6.8092553099955984E-4</v>
          </cell>
          <cell r="AQ53">
            <v>508909.30000000005</v>
          </cell>
          <cell r="AR53">
            <v>4.904976060498569E-4</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4.2775457778600125E-5</v>
          </cell>
          <cell r="O55">
            <v>3435.21</v>
          </cell>
          <cell r="P55">
            <v>3.6389436883867143E-5</v>
          </cell>
          <cell r="Q55">
            <v>4136.71</v>
          </cell>
          <cell r="V55">
            <v>4.0986412511677469E-5</v>
          </cell>
          <cell r="W55">
            <v>3534.63</v>
          </cell>
          <cell r="X55">
            <v>3.807330073223878E-5</v>
          </cell>
          <cell r="Y55">
            <v>3604.63</v>
          </cell>
          <cell r="Z55">
            <v>3.8889059764183328E-5</v>
          </cell>
          <cell r="AA55">
            <v>3574.62</v>
          </cell>
          <cell r="AB55">
            <v>4.7408073625972612E-5</v>
          </cell>
          <cell r="AC55">
            <v>3564.62</v>
          </cell>
          <cell r="AD55">
            <v>3.6071199460597352E-5</v>
          </cell>
          <cell r="AE55">
            <v>3619.62</v>
          </cell>
          <cell r="AF55">
            <v>4.0170199524635945E-5</v>
          </cell>
          <cell r="AG55">
            <v>2534.63</v>
          </cell>
          <cell r="AH55">
            <v>3.1392199863208591E-5</v>
          </cell>
          <cell r="AI55">
            <v>1401.44</v>
          </cell>
          <cell r="AJ55">
            <v>1.0857270682411553E-5</v>
          </cell>
          <cell r="AL55" t="e">
            <v>#DIV/0!</v>
          </cell>
          <cell r="AO55">
            <v>2968.1800000000026</v>
          </cell>
          <cell r="AP55">
            <v>2.9681496221758771E-5</v>
          </cell>
          <cell r="AQ55">
            <v>35904.5</v>
          </cell>
          <cell r="AR55">
            <v>3.4605520662359843E-5</v>
          </cell>
        </row>
        <row r="56">
          <cell r="J56" t="str">
            <v>MANAGEMENT FEES</v>
          </cell>
          <cell r="M56">
            <v>129333</v>
          </cell>
          <cell r="N56">
            <v>1.5671244149440657E-3</v>
          </cell>
          <cell r="O56">
            <v>258666</v>
          </cell>
          <cell r="P56">
            <v>2.7400683163481647E-3</v>
          </cell>
          <cell r="Q56">
            <v>129333</v>
          </cell>
          <cell r="V56">
            <v>1.2814279196203702E-3</v>
          </cell>
          <cell r="W56">
            <v>197460.44</v>
          </cell>
          <cell r="X56">
            <v>2.1269470113817264E-3</v>
          </cell>
          <cell r="Y56">
            <v>146850.81</v>
          </cell>
          <cell r="Z56">
            <v>1.5843207004626635E-3</v>
          </cell>
          <cell r="AA56">
            <v>146850.79999999999</v>
          </cell>
          <cell r="AB56">
            <v>1.9475954194943738E-3</v>
          </cell>
          <cell r="AC56">
            <v>154835.39000000001</v>
          </cell>
          <cell r="AD56">
            <v>1.5668144812769332E-3</v>
          </cell>
          <cell r="AE56">
            <v>170110.8</v>
          </cell>
          <cell r="AF56">
            <v>1.8878735274132203E-3</v>
          </cell>
          <cell r="AG56">
            <v>170110.8</v>
          </cell>
          <cell r="AH56">
            <v>2.1068764405417374E-3</v>
          </cell>
          <cell r="AI56">
            <v>82074.089999999851</v>
          </cell>
          <cell r="AJ56">
            <v>6.358464230667068E-4</v>
          </cell>
          <cell r="AL56" t="e">
            <v>#DIV/0!</v>
          </cell>
          <cell r="AO56">
            <v>101073.28000000003</v>
          </cell>
          <cell r="AP56">
            <v>1.0107224556599548E-3</v>
          </cell>
          <cell r="AQ56">
            <v>1686698.41</v>
          </cell>
          <cell r="AR56">
            <v>1.6256757976973496E-3</v>
          </cell>
        </row>
        <row r="57">
          <cell r="J57" t="str">
            <v>SECURITY CHARGES</v>
          </cell>
          <cell r="M57">
            <v>34283.33</v>
          </cell>
          <cell r="N57">
            <v>4.1541016962866659E-4</v>
          </cell>
          <cell r="O57">
            <v>34330.050000000003</v>
          </cell>
          <cell r="P57">
            <v>3.6366079153676292E-4</v>
          </cell>
          <cell r="Q57">
            <v>34380.22</v>
          </cell>
          <cell r="V57">
            <v>3.4063830415045383E-4</v>
          </cell>
          <cell r="W57">
            <v>34331.050000000003</v>
          </cell>
          <cell r="X57">
            <v>3.6979723227141916E-4</v>
          </cell>
          <cell r="Y57">
            <v>34325.11</v>
          </cell>
          <cell r="Z57">
            <v>3.7032129627788895E-4</v>
          </cell>
          <cell r="AA57">
            <v>34363.39</v>
          </cell>
          <cell r="AB57">
            <v>4.5574134401922751E-4</v>
          </cell>
          <cell r="AC57">
            <v>34325.11</v>
          </cell>
          <cell r="AD57">
            <v>3.4734358481884321E-4</v>
          </cell>
          <cell r="AE57">
            <v>34325</v>
          </cell>
          <cell r="AF57">
            <v>3.8093559508543134E-4</v>
          </cell>
          <cell r="AG57">
            <v>34325</v>
          </cell>
          <cell r="AH57">
            <v>4.2512605796689648E-4</v>
          </cell>
          <cell r="AI57">
            <v>34325.22</v>
          </cell>
          <cell r="AJ57">
            <v>2.659251946378915E-4</v>
          </cell>
          <cell r="AL57" t="e">
            <v>#DIV/0!</v>
          </cell>
          <cell r="AO57">
            <v>34355.110000000015</v>
          </cell>
          <cell r="AP57">
            <v>3.4354758392789739E-4</v>
          </cell>
          <cell r="AQ57">
            <v>377668.59</v>
          </cell>
          <cell r="AR57">
            <v>3.6400501872381756E-4</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6.8407994723779824E-5</v>
          </cell>
          <cell r="AL58" t="e">
            <v>#DIV/0!</v>
          </cell>
          <cell r="AO58">
            <v>0</v>
          </cell>
          <cell r="AP58">
            <v>0</v>
          </cell>
          <cell r="AQ58">
            <v>8830</v>
          </cell>
          <cell r="AR58">
            <v>8.5105417830254539E-6</v>
          </cell>
        </row>
        <row r="59">
          <cell r="J59" t="str">
            <v xml:space="preserve">RENT </v>
          </cell>
          <cell r="M59">
            <v>464642.89</v>
          </cell>
          <cell r="N59">
            <v>5.6300651585378045E-3</v>
          </cell>
          <cell r="O59">
            <v>464481.88</v>
          </cell>
          <cell r="P59">
            <v>4.9202913521909728E-3</v>
          </cell>
          <cell r="Q59">
            <v>459332.35</v>
          </cell>
          <cell r="V59">
            <v>4.551052690920614E-3</v>
          </cell>
          <cell r="W59">
            <v>463329.62</v>
          </cell>
          <cell r="X59">
            <v>4.9907594176516121E-3</v>
          </cell>
          <cell r="Y59">
            <v>475156.44</v>
          </cell>
          <cell r="Z59">
            <v>5.1262923496993009E-3</v>
          </cell>
          <cell r="AA59">
            <v>471835.52</v>
          </cell>
          <cell r="AB59">
            <v>6.2576758009268325E-3</v>
          </cell>
          <cell r="AC59">
            <v>473918.77</v>
          </cell>
          <cell r="AD59">
            <v>4.7956916812425905E-3</v>
          </cell>
          <cell r="AE59">
            <v>473551.9</v>
          </cell>
          <cell r="AF59">
            <v>5.2554340810003399E-3</v>
          </cell>
          <cell r="AG59">
            <v>420843.2</v>
          </cell>
          <cell r="AH59">
            <v>5.212277076130349E-3</v>
          </cell>
          <cell r="AI59">
            <v>563227.34</v>
          </cell>
          <cell r="AJ59">
            <v>4.3634487998877175E-3</v>
          </cell>
          <cell r="AL59" t="e">
            <v>#DIV/0!</v>
          </cell>
          <cell r="AO59">
            <v>647096.8000000004</v>
          </cell>
          <cell r="AP59">
            <v>6.4709017729087139E-3</v>
          </cell>
          <cell r="AQ59">
            <v>5377416.71</v>
          </cell>
          <cell r="AR59">
            <v>5.1828685838272107E-3</v>
          </cell>
        </row>
        <row r="60">
          <cell r="Z60">
            <v>0</v>
          </cell>
          <cell r="AB60">
            <v>0</v>
          </cell>
          <cell r="AD60">
            <v>0</v>
          </cell>
          <cell r="AF60">
            <v>0</v>
          </cell>
          <cell r="AH60">
            <v>0</v>
          </cell>
          <cell r="AJ60">
            <v>0</v>
          </cell>
          <cell r="AL60" t="e">
            <v>#DIV/0!</v>
          </cell>
        </row>
        <row r="61">
          <cell r="J61" t="str">
            <v>STAFF TRAINING</v>
          </cell>
          <cell r="M61">
            <v>133600</v>
          </cell>
          <cell r="N61">
            <v>1.6188275369513362E-3</v>
          </cell>
          <cell r="O61">
            <v>39300</v>
          </cell>
          <cell r="P61">
            <v>4.1630784421796012E-4</v>
          </cell>
          <cell r="Q61">
            <v>87800</v>
          </cell>
          <cell r="V61">
            <v>8.6992006172182279E-4</v>
          </cell>
          <cell r="W61">
            <v>87689.68</v>
          </cell>
          <cell r="X61">
            <v>9.4455022385759875E-4</v>
          </cell>
          <cell r="Y61">
            <v>155875.82</v>
          </cell>
          <cell r="Z61">
            <v>1.6816882952677759E-3</v>
          </cell>
          <cell r="AA61">
            <v>126525</v>
          </cell>
          <cell r="AB61">
            <v>1.6780263400098989E-3</v>
          </cell>
          <cell r="AC61">
            <v>109955</v>
          </cell>
          <cell r="AD61">
            <v>1.1126596205738571E-3</v>
          </cell>
          <cell r="AE61">
            <v>142750</v>
          </cell>
          <cell r="AF61">
            <v>1.5842259635381012E-3</v>
          </cell>
          <cell r="AG61">
            <v>24500.000000000058</v>
          </cell>
          <cell r="AH61">
            <v>3.0344030357433324E-4</v>
          </cell>
          <cell r="AI61">
            <v>159525</v>
          </cell>
          <cell r="AJ61">
            <v>1.235876031518797E-3</v>
          </cell>
          <cell r="AL61" t="e">
            <v>#DIV/0!</v>
          </cell>
          <cell r="AO61">
            <v>112999.99999999994</v>
          </cell>
          <cell r="AP61">
            <v>1.1299884350203615E-3</v>
          </cell>
          <cell r="AQ61">
            <v>1180520.5</v>
          </cell>
          <cell r="AR61">
            <v>1.1378107634165459E-3</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3.3205351663633545E-4</v>
          </cell>
          <cell r="O63">
            <v>-1146.9000000000001</v>
          </cell>
          <cell r="P63">
            <v>-1.2149197621719555E-5</v>
          </cell>
          <cell r="Q63">
            <v>2707.22</v>
          </cell>
          <cell r="V63">
            <v>2.6823063661669168E-5</v>
          </cell>
          <cell r="W63">
            <v>9958.64</v>
          </cell>
          <cell r="X63">
            <v>1.0726958567207951E-4</v>
          </cell>
          <cell r="Y63">
            <v>-519.47999999999593</v>
          </cell>
          <cell r="Z63">
            <v>-5.6044833356815529E-6</v>
          </cell>
          <cell r="AA63">
            <v>6990</v>
          </cell>
          <cell r="AB63">
            <v>9.2704241190825476E-5</v>
          </cell>
          <cell r="AC63">
            <v>11165</v>
          </cell>
          <cell r="AD63">
            <v>1.1298117105822486E-4</v>
          </cell>
          <cell r="AE63">
            <v>9699.9999999999927</v>
          </cell>
          <cell r="AF63">
            <v>1.0764968018437527E-4</v>
          </cell>
          <cell r="AG63">
            <v>2640</v>
          </cell>
          <cell r="AH63">
            <v>3.2697240874948489E-5</v>
          </cell>
          <cell r="AI63">
            <v>6273.75</v>
          </cell>
          <cell r="AJ63">
            <v>4.8604151404112538E-5</v>
          </cell>
          <cell r="AL63" t="e">
            <v>#DIV/0!</v>
          </cell>
          <cell r="AO63">
            <v>10455</v>
          </cell>
          <cell r="AP63">
            <v>1.045489299835211E-4</v>
          </cell>
          <cell r="AQ63">
            <v>85627.23</v>
          </cell>
          <cell r="AR63">
            <v>8.2529345263842644E-5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2.2150502494423951E-4</v>
          </cell>
          <cell r="AE65">
            <v>0</v>
          </cell>
          <cell r="AF65">
            <v>0</v>
          </cell>
          <cell r="AG65">
            <v>0</v>
          </cell>
          <cell r="AH65">
            <v>0</v>
          </cell>
          <cell r="AI65">
            <v>65770.3</v>
          </cell>
          <cell r="AJ65">
            <v>5.0953729732518879E-4</v>
          </cell>
          <cell r="AL65" t="e">
            <v>#DIV/0!</v>
          </cell>
          <cell r="AO65">
            <v>54384.100000000006</v>
          </cell>
          <cell r="AP65">
            <v>5.438354340618662E-4</v>
          </cell>
          <cell r="AQ65">
            <v>142043.92000000001</v>
          </cell>
          <cell r="AR65">
            <v>1.3690495087029727E-4</v>
          </cell>
        </row>
        <row r="66">
          <cell r="J66" t="str">
            <v>TRAVELLING</v>
          </cell>
          <cell r="M66">
            <v>401029</v>
          </cell>
          <cell r="O66">
            <v>184047.65</v>
          </cell>
          <cell r="Q66">
            <v>386955.44</v>
          </cell>
          <cell r="W66">
            <v>278654.57</v>
          </cell>
          <cell r="X66">
            <v>3.0015303565076638E-3</v>
          </cell>
          <cell r="Y66">
            <v>347052.88</v>
          </cell>
          <cell r="Z66">
            <v>3.7442290031575905E-3</v>
          </cell>
          <cell r="AA66">
            <v>367202</v>
          </cell>
          <cell r="AB66">
            <v>4.8699832294354069E-3</v>
          </cell>
          <cell r="AC66">
            <v>366363.75</v>
          </cell>
          <cell r="AD66">
            <v>3.7073180034288156E-3</v>
          </cell>
          <cell r="AE66">
            <v>336082.61</v>
          </cell>
          <cell r="AF66">
            <v>3.7298129362917675E-3</v>
          </cell>
          <cell r="AG66">
            <v>362001.32</v>
          </cell>
          <cell r="AH66">
            <v>4.4835016504126161E-3</v>
          </cell>
          <cell r="AI66">
            <v>404500.34000000049</v>
          </cell>
          <cell r="AJ66">
            <v>3.1337550537358077E-3</v>
          </cell>
          <cell r="AL66" t="e">
            <v>#DIV/0!</v>
          </cell>
          <cell r="AO66">
            <v>385036.50000000006</v>
          </cell>
          <cell r="AP66">
            <v>3.8503255934576788E-3</v>
          </cell>
          <cell r="AQ66">
            <v>3818926.06</v>
          </cell>
          <cell r="AR66">
            <v>3.6807621517457273E-3</v>
          </cell>
        </row>
        <row r="67">
          <cell r="J67" t="str">
            <v>BANK CHARGES</v>
          </cell>
          <cell r="M67">
            <v>19828.939999999999</v>
          </cell>
          <cell r="N67">
            <v>2.4026672230954962E-4</v>
          </cell>
          <cell r="O67">
            <v>18307.490000000002</v>
          </cell>
          <cell r="P67">
            <v>1.9393261310284639E-4</v>
          </cell>
          <cell r="Q67">
            <v>12390.49</v>
          </cell>
          <cell r="V67">
            <v>1.2276464493808233E-4</v>
          </cell>
          <cell r="W67">
            <v>23175.4</v>
          </cell>
          <cell r="X67">
            <v>2.4963404197608427E-4</v>
          </cell>
          <cell r="Y67">
            <v>22961.88</v>
          </cell>
          <cell r="Z67">
            <v>2.4772748482313189E-4</v>
          </cell>
          <cell r="AA67">
            <v>25103.3</v>
          </cell>
          <cell r="AB67">
            <v>3.3293024004086538E-4</v>
          </cell>
          <cell r="AC67">
            <v>28510.76</v>
          </cell>
          <cell r="AD67">
            <v>2.8850685647648853E-4</v>
          </cell>
          <cell r="AE67">
            <v>28231.360000000001</v>
          </cell>
          <cell r="AF67">
            <v>3.1330895620308935E-4</v>
          </cell>
          <cell r="AG67">
            <v>26125</v>
          </cell>
          <cell r="AH67">
            <v>3.2356644615834439E-4</v>
          </cell>
          <cell r="AI67">
            <v>22875</v>
          </cell>
          <cell r="AJ67">
            <v>1.7721776662587356E-4</v>
          </cell>
          <cell r="AL67" t="e">
            <v>#DIV/0!</v>
          </cell>
          <cell r="AO67">
            <v>20275.000000000015</v>
          </cell>
          <cell r="AP67">
            <v>2.0274792495608723E-4</v>
          </cell>
          <cell r="AQ67">
            <v>247784.62</v>
          </cell>
          <cell r="AR67">
            <v>2.3882008626286346E-4</v>
          </cell>
        </row>
        <row r="68">
          <cell r="J68" t="str">
            <v>STORAGE  CHARGES</v>
          </cell>
          <cell r="M68">
            <v>8300</v>
          </cell>
          <cell r="N68">
            <v>1.0057087243035996E-4</v>
          </cell>
          <cell r="O68">
            <v>11500</v>
          </cell>
          <cell r="P68">
            <v>1.2182036153960664E-4</v>
          </cell>
          <cell r="Q68">
            <v>11500</v>
          </cell>
          <cell r="V68">
            <v>1.1394169373349616E-4</v>
          </cell>
          <cell r="W68">
            <v>-31300</v>
          </cell>
          <cell r="X68">
            <v>-3.3714824830861331E-4</v>
          </cell>
          <cell r="Y68">
            <v>0</v>
          </cell>
          <cell r="Z68">
            <v>0</v>
          </cell>
          <cell r="AA68">
            <v>7154.7</v>
          </cell>
          <cell r="AB68">
            <v>9.488856000686681E-5</v>
          </cell>
          <cell r="AC68">
            <v>9.0949470177292824E-13</v>
          </cell>
          <cell r="AD68">
            <v>9.20338347313537E-21</v>
          </cell>
          <cell r="AE68">
            <v>6900</v>
          </cell>
          <cell r="AF68">
            <v>7.6575545698163907E-5</v>
          </cell>
          <cell r="AG68">
            <v>7500</v>
          </cell>
          <cell r="AH68">
            <v>9.2889888849285472E-5</v>
          </cell>
          <cell r="AI68">
            <v>7500</v>
          </cell>
          <cell r="AJ68">
            <v>5.8104185778974938E-5</v>
          </cell>
          <cell r="AL68" t="e">
            <v>#DIV/0!</v>
          </cell>
          <cell r="AO68">
            <v>-1048.4700000000012</v>
          </cell>
          <cell r="AP68">
            <v>-1.0484592694387613E-5</v>
          </cell>
          <cell r="AQ68">
            <v>28006.23</v>
          </cell>
          <cell r="AR68">
            <v>2.6993000067952541E-5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7308716.3899999997</v>
          </cell>
          <cell r="N75">
            <v>8.8559516107032651E-2</v>
          </cell>
          <cell r="O75">
            <v>6924507.5</v>
          </cell>
          <cell r="P75">
            <v>7.3351826707279799E-2</v>
          </cell>
          <cell r="Q75">
            <v>6913061.5199999996</v>
          </cell>
          <cell r="V75">
            <v>6.8494429432404982E-2</v>
          </cell>
          <cell r="W75">
            <v>6803091.0900000008</v>
          </cell>
          <cell r="X75">
            <v>7.327956051365607E-2</v>
          </cell>
          <cell r="Y75">
            <v>7513178.870000001</v>
          </cell>
          <cell r="Z75">
            <v>8.105699117369311E-2</v>
          </cell>
          <cell r="AA75">
            <v>7963375.8499999996</v>
          </cell>
          <cell r="AB75">
            <v>0.10561355014185905</v>
          </cell>
          <cell r="AC75">
            <v>7753049.6899999995</v>
          </cell>
          <cell r="AD75">
            <v>7.8454870868679541E-2</v>
          </cell>
          <cell r="AE75">
            <v>7470351.8500000006</v>
          </cell>
          <cell r="AF75">
            <v>8.2905256445078013E-2</v>
          </cell>
          <cell r="AG75">
            <v>7740933.1599999955</v>
          </cell>
          <cell r="AH75">
            <v>9.5873922776286369E-2</v>
          </cell>
          <cell r="AI75">
            <v>8011940.79</v>
          </cell>
          <cell r="AJ75">
            <v>6.2070306148307636E-2</v>
          </cell>
          <cell r="AK75">
            <v>0</v>
          </cell>
          <cell r="AL75" t="e">
            <v>#DIV/0!</v>
          </cell>
          <cell r="AM75">
            <v>0</v>
          </cell>
          <cell r="AO75">
            <v>8238810.4300000081</v>
          </cell>
          <cell r="AP75">
            <v>8.2387261099337569E-2</v>
          </cell>
          <cell r="AQ75">
            <v>82641017.140000001</v>
          </cell>
          <cell r="AR75">
            <v>7.9651169803136204E-2</v>
          </cell>
        </row>
        <row r="76">
          <cell r="AL76" t="e">
            <v>#DIV/0!</v>
          </cell>
        </row>
        <row r="77">
          <cell r="Y77">
            <v>2169789.870000001</v>
          </cell>
          <cell r="AL77" t="e">
            <v>#DIV/0!</v>
          </cell>
        </row>
        <row r="78">
          <cell r="J78" t="str">
            <v>LESS- SELLING  &amp;  DISTRI</v>
          </cell>
          <cell r="AL78" t="e">
            <v>#DIV/0!</v>
          </cell>
          <cell r="AR78">
            <v>0</v>
          </cell>
        </row>
        <row r="79">
          <cell r="J79" t="str">
            <v>DISTRIBUTORS COMMISSION</v>
          </cell>
          <cell r="M79">
            <v>285000</v>
          </cell>
          <cell r="O79">
            <v>285000</v>
          </cell>
          <cell r="Q79">
            <v>332550</v>
          </cell>
          <cell r="V79">
            <v>3.294896543571665E-3</v>
          </cell>
          <cell r="W79">
            <v>319659.24</v>
          </cell>
          <cell r="X79">
            <v>3.4432125502128629E-3</v>
          </cell>
          <cell r="Y79">
            <v>285000</v>
          </cell>
          <cell r="Z79">
            <v>3.0747627448010611E-3</v>
          </cell>
          <cell r="AA79">
            <v>237147</v>
          </cell>
          <cell r="AB79">
            <v>3.1451405845036753E-3</v>
          </cell>
          <cell r="AC79">
            <v>285000</v>
          </cell>
          <cell r="AD79">
            <v>2.8839797359242348E-3</v>
          </cell>
          <cell r="AE79">
            <v>364416</v>
          </cell>
          <cell r="AF79">
            <v>4.0442542117597241E-3</v>
          </cell>
          <cell r="AG79">
            <v>425496</v>
          </cell>
          <cell r="AH79">
            <v>5.2699034861087429E-3</v>
          </cell>
          <cell r="AI79">
            <v>338705</v>
          </cell>
          <cell r="AJ79">
            <v>2.6240237659023611E-3</v>
          </cell>
          <cell r="AL79" t="e">
            <v>#DIV/0!</v>
          </cell>
          <cell r="AO79">
            <v>230211</v>
          </cell>
          <cell r="AP79">
            <v>2.302086439066129E-3</v>
          </cell>
          <cell r="AQ79">
            <v>3388184.24</v>
          </cell>
          <cell r="AR79">
            <v>3.2656040252670832E-3</v>
          </cell>
        </row>
        <row r="80">
          <cell r="J80" t="str">
            <v>ADVERTISEMENT</v>
          </cell>
          <cell r="M80">
            <v>0</v>
          </cell>
          <cell r="N80">
            <v>0</v>
          </cell>
          <cell r="O80">
            <v>0</v>
          </cell>
          <cell r="P80">
            <v>0</v>
          </cell>
          <cell r="Q80">
            <v>0</v>
          </cell>
          <cell r="V80">
            <v>0</v>
          </cell>
          <cell r="W80">
            <v>6443.07</v>
          </cell>
          <cell r="X80">
            <v>6.9401589911494472E-5</v>
          </cell>
          <cell r="Y80">
            <v>0</v>
          </cell>
          <cell r="Z80">
            <v>0</v>
          </cell>
          <cell r="AA80">
            <v>0</v>
          </cell>
          <cell r="AB80">
            <v>0</v>
          </cell>
          <cell r="AC80">
            <v>10944.76</v>
          </cell>
          <cell r="AD80">
            <v>1.1075251247211975E-4</v>
          </cell>
          <cell r="AE80">
            <v>1.8189894035458565E-12</v>
          </cell>
          <cell r="AF80">
            <v>2.0186971912420527E-20</v>
          </cell>
          <cell r="AG80">
            <v>0</v>
          </cell>
          <cell r="AH80">
            <v>0</v>
          </cell>
          <cell r="AI80">
            <v>0</v>
          </cell>
          <cell r="AJ80">
            <v>0</v>
          </cell>
          <cell r="AL80" t="e">
            <v>#DIV/0!</v>
          </cell>
          <cell r="AO80">
            <v>-10944.760000000002</v>
          </cell>
          <cell r="AP80">
            <v>-1.0944647985905716E-4</v>
          </cell>
          <cell r="AQ80">
            <v>6443.07</v>
          </cell>
          <cell r="AR80">
            <v>6.2099678874244405E-6</v>
          </cell>
        </row>
        <row r="81">
          <cell r="J81" t="str">
            <v>SALES COMMISSION</v>
          </cell>
          <cell r="M81">
            <v>1107778.46</v>
          </cell>
          <cell r="N81">
            <v>1.3422921226718147E-2</v>
          </cell>
          <cell r="O81">
            <v>707793.08</v>
          </cell>
          <cell r="P81">
            <v>7.4977051218114545E-3</v>
          </cell>
          <cell r="Q81">
            <v>1472873.89</v>
          </cell>
          <cell r="V81">
            <v>1.4593195276734182E-2</v>
          </cell>
          <cell r="W81">
            <v>1228881.8999999999</v>
          </cell>
          <cell r="X81">
            <v>1.3236913097864553E-2</v>
          </cell>
          <cell r="Y81">
            <v>1420068.1</v>
          </cell>
          <cell r="Z81">
            <v>1.5320605224422554E-2</v>
          </cell>
          <cell r="AA81">
            <v>887960.93000000063</v>
          </cell>
          <cell r="AB81">
            <v>1.1776501319420566E-2</v>
          </cell>
          <cell r="AC81">
            <v>733996</v>
          </cell>
          <cell r="AD81">
            <v>7.4274722464892796E-3</v>
          </cell>
          <cell r="AE81">
            <v>777664.55</v>
          </cell>
          <cell r="AF81">
            <v>8.6304474328068228E-3</v>
          </cell>
          <cell r="AG81">
            <v>894338.68999999878</v>
          </cell>
          <cell r="AH81">
            <v>1.1076669534362062E-2</v>
          </cell>
          <cell r="AI81">
            <v>1396303.99</v>
          </cell>
          <cell r="AJ81">
            <v>1.0817480858517862E-2</v>
          </cell>
          <cell r="AL81" t="e">
            <v>#DIV/0!</v>
          </cell>
          <cell r="AO81">
            <v>1266220.3599999987</v>
          </cell>
          <cell r="AP81">
            <v>1.2662074008737327E-2</v>
          </cell>
          <cell r="AQ81">
            <v>11893879.949999999</v>
          </cell>
          <cell r="AR81">
            <v>1.146357443677958E-2</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1.6896058030457749E-2</v>
          </cell>
          <cell r="O83">
            <v>1563121.05</v>
          </cell>
          <cell r="P83">
            <v>1.6558258386188657E-2</v>
          </cell>
          <cell r="Q83">
            <v>1778336.64</v>
          </cell>
          <cell r="V83">
            <v>1.7619712068689966E-2</v>
          </cell>
          <cell r="W83">
            <v>1814601.5</v>
          </cell>
          <cell r="X83">
            <v>1.9545997351539366E-2</v>
          </cell>
          <cell r="Y83">
            <v>1996738.95</v>
          </cell>
          <cell r="Z83">
            <v>2.1542100121239256E-2</v>
          </cell>
          <cell r="AA83">
            <v>1993976.86</v>
          </cell>
          <cell r="AB83">
            <v>2.6444937304487104E-2</v>
          </cell>
          <cell r="AC83">
            <v>2001212.23</v>
          </cell>
          <cell r="AD83">
            <v>2.0250721117907891E-2</v>
          </cell>
          <cell r="AE83">
            <v>2063797.81</v>
          </cell>
          <cell r="AF83">
            <v>2.2903832392960233E-2</v>
          </cell>
          <cell r="AG83">
            <v>1978568.54</v>
          </cell>
          <cell r="AH83">
            <v>2.4505201568172406E-2</v>
          </cell>
          <cell r="AI83">
            <v>2155299</v>
          </cell>
          <cell r="AJ83">
            <v>1.6697585800698522E-2</v>
          </cell>
          <cell r="AL83" t="e">
            <v>#DIV/0!</v>
          </cell>
          <cell r="AO83">
            <v>2369113.5800000029</v>
          </cell>
          <cell r="AP83">
            <v>2.36908933331831E-2</v>
          </cell>
          <cell r="AQ83">
            <v>21109178.660000004</v>
          </cell>
          <cell r="AR83">
            <v>2.0345475310450657E-2</v>
          </cell>
        </row>
        <row r="84">
          <cell r="J84" t="str">
            <v>REGISTRATION  FEES</v>
          </cell>
          <cell r="M84">
            <v>157500</v>
          </cell>
          <cell r="N84">
            <v>1.9084231816604452E-3</v>
          </cell>
          <cell r="O84">
            <v>19700</v>
          </cell>
          <cell r="P84">
            <v>2.0868357585480441E-4</v>
          </cell>
          <cell r="Q84">
            <v>159200</v>
          </cell>
          <cell r="V84">
            <v>1.5773493602063119E-3</v>
          </cell>
          <cell r="W84">
            <v>81200</v>
          </cell>
          <cell r="X84">
            <v>8.7464657388688178E-4</v>
          </cell>
          <cell r="Y84">
            <v>117000</v>
          </cell>
          <cell r="Z84">
            <v>1.2622710215499093E-3</v>
          </cell>
          <cell r="AA84">
            <v>160500</v>
          </cell>
          <cell r="AB84">
            <v>2.1286166968708855E-3</v>
          </cell>
          <cell r="AC84">
            <v>233000</v>
          </cell>
          <cell r="AD84">
            <v>2.357779924457357E-3</v>
          </cell>
          <cell r="AE84">
            <v>84700</v>
          </cell>
          <cell r="AF84">
            <v>9.3999256820789605E-4</v>
          </cell>
          <cell r="AG84">
            <v>77000</v>
          </cell>
          <cell r="AH84">
            <v>9.5366952551933083E-4</v>
          </cell>
          <cell r="AI84">
            <v>159500</v>
          </cell>
          <cell r="AJ84">
            <v>1.2356823508995337E-3</v>
          </cell>
          <cell r="AL84" t="e">
            <v>#DIV/0!</v>
          </cell>
          <cell r="AO84">
            <v>242200</v>
          </cell>
          <cell r="AP84">
            <v>2.4219752120524926E-3</v>
          </cell>
          <cell r="AQ84">
            <v>1491500</v>
          </cell>
          <cell r="AR84">
            <v>1.4375394189561114E-3</v>
          </cell>
        </row>
        <row r="85">
          <cell r="J85" t="str">
            <v>VEHICAL  MAINT.</v>
          </cell>
          <cell r="M85">
            <v>423260.86</v>
          </cell>
          <cell r="N85">
            <v>5.1286402356414997E-3</v>
          </cell>
          <cell r="O85">
            <v>436887.51</v>
          </cell>
          <cell r="P85">
            <v>4.6279821235076972E-3</v>
          </cell>
          <cell r="Q85">
            <v>244628.14</v>
          </cell>
          <cell r="V85">
            <v>2.4237690962152017E-3</v>
          </cell>
          <cell r="W85">
            <v>345780.98</v>
          </cell>
          <cell r="X85">
            <v>3.7245831215794137E-3</v>
          </cell>
          <cell r="Y85">
            <v>295622.95</v>
          </cell>
          <cell r="Z85">
            <v>3.1893699409410066E-3</v>
          </cell>
          <cell r="AA85">
            <v>163933.34</v>
          </cell>
          <cell r="AB85">
            <v>2.1741510573072384E-3</v>
          </cell>
          <cell r="AC85">
            <v>260219.98</v>
          </cell>
          <cell r="AD85">
            <v>2.6332250849214378E-3</v>
          </cell>
          <cell r="AE85">
            <v>273617.78000000003</v>
          </cell>
          <cell r="AF85">
            <v>3.0365841762637915E-3</v>
          </cell>
          <cell r="AG85">
            <v>226422.63</v>
          </cell>
          <cell r="AH85">
            <v>2.8043163911550522E-3</v>
          </cell>
          <cell r="AI85">
            <v>414855.71</v>
          </cell>
          <cell r="AJ85">
            <v>3.213980432707807E-3</v>
          </cell>
          <cell r="AL85" t="e">
            <v>#DIV/0!</v>
          </cell>
          <cell r="AO85">
            <v>184905.22000000026</v>
          </cell>
          <cell r="AP85">
            <v>1.8490332758840358E-3</v>
          </cell>
          <cell r="AQ85">
            <v>3270135.1</v>
          </cell>
          <cell r="AR85">
            <v>3.1518257536453137E-3</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1.8175458872956618E-5</v>
          </cell>
          <cell r="O87">
            <v>1500</v>
          </cell>
          <cell r="P87">
            <v>1.58896123747313E-5</v>
          </cell>
          <cell r="Q87">
            <v>1500</v>
          </cell>
          <cell r="V87">
            <v>1.4861960052195151E-5</v>
          </cell>
          <cell r="W87">
            <v>1500</v>
          </cell>
          <cell r="X87">
            <v>1.6157264295939936E-5</v>
          </cell>
          <cell r="Y87">
            <v>0</v>
          </cell>
          <cell r="Z87">
            <v>0</v>
          </cell>
          <cell r="AA87">
            <v>1500</v>
          </cell>
          <cell r="AB87">
            <v>1.9893613989447528E-5</v>
          </cell>
          <cell r="AC87">
            <v>1500</v>
          </cell>
          <cell r="AD87">
            <v>1.5178840715390711E-5</v>
          </cell>
          <cell r="AE87">
            <v>1500</v>
          </cell>
          <cell r="AF87">
            <v>1.6646857760470416E-5</v>
          </cell>
          <cell r="AG87">
            <v>1500</v>
          </cell>
          <cell r="AH87">
            <v>1.8577977769857093E-5</v>
          </cell>
          <cell r="AI87">
            <v>1500</v>
          </cell>
          <cell r="AJ87">
            <v>1.1620837155794989E-5</v>
          </cell>
          <cell r="AL87" t="e">
            <v>#DIV/0!</v>
          </cell>
          <cell r="AO87">
            <v>1500</v>
          </cell>
          <cell r="AP87">
            <v>1.4999846482571178E-5</v>
          </cell>
          <cell r="AQ87">
            <v>15000</v>
          </cell>
          <cell r="AR87">
            <v>1.4457318997211983E-5</v>
          </cell>
        </row>
        <row r="88">
          <cell r="J88" t="str">
            <v>LICENCE FEES</v>
          </cell>
          <cell r="M88">
            <v>30000</v>
          </cell>
          <cell r="N88">
            <v>3.6350917745913238E-4</v>
          </cell>
          <cell r="O88">
            <v>74000</v>
          </cell>
          <cell r="P88">
            <v>7.8388754382007755E-4</v>
          </cell>
          <cell r="Q88">
            <v>15000</v>
          </cell>
          <cell r="V88">
            <v>1.4861960052195151E-4</v>
          </cell>
          <cell r="W88">
            <v>29000</v>
          </cell>
          <cell r="X88">
            <v>3.1237377638817208E-4</v>
          </cell>
          <cell r="Y88">
            <v>53000</v>
          </cell>
          <cell r="Z88">
            <v>5.7179798412089911E-4</v>
          </cell>
          <cell r="AA88">
            <v>41000</v>
          </cell>
          <cell r="AB88">
            <v>5.4375878237823238E-4</v>
          </cell>
          <cell r="AC88">
            <v>17000</v>
          </cell>
          <cell r="AD88">
            <v>1.7202686144109471E-4</v>
          </cell>
          <cell r="AE88">
            <v>42500</v>
          </cell>
          <cell r="AF88">
            <v>4.7166096987999505E-4</v>
          </cell>
          <cell r="AG88">
            <v>2500</v>
          </cell>
          <cell r="AH88">
            <v>3.096329628309516E-5</v>
          </cell>
          <cell r="AI88">
            <v>23000</v>
          </cell>
          <cell r="AJ88">
            <v>1.7818616972218983E-4</v>
          </cell>
          <cell r="AL88" t="e">
            <v>#DIV/0!</v>
          </cell>
          <cell r="AO88">
            <v>109000</v>
          </cell>
          <cell r="AP88">
            <v>1.0899888444001722E-3</v>
          </cell>
          <cell r="AQ88">
            <v>436000</v>
          </cell>
          <cell r="AR88">
            <v>4.202260721856283E-4</v>
          </cell>
        </row>
        <row r="89">
          <cell r="J89" t="str">
            <v>TENDER  EXPENSES</v>
          </cell>
          <cell r="M89">
            <v>15294.56</v>
          </cell>
          <cell r="N89">
            <v>1.8532376417331158E-4</v>
          </cell>
          <cell r="O89">
            <v>45711</v>
          </cell>
          <cell r="P89">
            <v>4.8422004750756168E-4</v>
          </cell>
          <cell r="Q89">
            <v>43278</v>
          </cell>
          <cell r="V89">
            <v>4.2879727142593448E-4</v>
          </cell>
          <cell r="W89">
            <v>-19800</v>
          </cell>
          <cell r="X89">
            <v>-2.1327588870640715E-4</v>
          </cell>
          <cell r="Y89">
            <v>-2107</v>
          </cell>
          <cell r="Z89">
            <v>-2.2731667029108197E-5</v>
          </cell>
          <cell r="AA89">
            <v>15000</v>
          </cell>
          <cell r="AB89">
            <v>1.9893613989447527E-4</v>
          </cell>
          <cell r="AC89">
            <v>30049</v>
          </cell>
          <cell r="AD89">
            <v>3.0407265643785032E-4</v>
          </cell>
          <cell r="AE89">
            <v>3408</v>
          </cell>
          <cell r="AF89">
            <v>3.7821660831788781E-5</v>
          </cell>
          <cell r="AG89">
            <v>28650</v>
          </cell>
          <cell r="AH89">
            <v>3.5483937540427052E-4</v>
          </cell>
          <cell r="AI89">
            <v>0</v>
          </cell>
          <cell r="AJ89">
            <v>0</v>
          </cell>
          <cell r="AL89" t="e">
            <v>#DIV/0!</v>
          </cell>
          <cell r="AO89">
            <v>0</v>
          </cell>
          <cell r="AP89">
            <v>0</v>
          </cell>
          <cell r="AQ89">
            <v>159483.56</v>
          </cell>
          <cell r="AR89">
            <v>1.5371364678206647E-4</v>
          </cell>
        </row>
        <row r="90">
          <cell r="J90" t="str">
            <v>FREE GOODS</v>
          </cell>
          <cell r="M90">
            <v>-2800003.61</v>
          </cell>
          <cell r="O90">
            <v>-1954760.65</v>
          </cell>
          <cell r="Q90">
            <v>-2778411.07</v>
          </cell>
          <cell r="W90">
            <v>-2785077.26</v>
          </cell>
          <cell r="Y90">
            <v>-2662918.29</v>
          </cell>
          <cell r="Z90">
            <v>-2.8729270001899468E-2</v>
          </cell>
          <cell r="AA90">
            <v>-2075040.78</v>
          </cell>
          <cell r="AB90">
            <v>-2.7520040193121407E-2</v>
          </cell>
          <cell r="AC90">
            <v>-2552988.71</v>
          </cell>
          <cell r="AD90">
            <v>-2.5834272651520537E-2</v>
          </cell>
          <cell r="AE90">
            <v>-2537875.91</v>
          </cell>
          <cell r="AF90">
            <v>-2.8165106191662945E-2</v>
          </cell>
          <cell r="AG90">
            <v>-2212051.08</v>
          </cell>
          <cell r="AH90">
            <v>-2.739695719335225E-2</v>
          </cell>
          <cell r="AI90">
            <v>-1788403.53</v>
          </cell>
          <cell r="AJ90">
            <v>-1.3855164127319278E-2</v>
          </cell>
          <cell r="AL90" t="e">
            <v>#DIV/0!</v>
          </cell>
          <cell r="AO90">
            <v>-2592988.3100000015</v>
          </cell>
          <cell r="AP90">
            <v>-2.5929617720734467E-2</v>
          </cell>
          <cell r="AQ90">
            <v>-26740519.199999999</v>
          </cell>
          <cell r="AR90">
            <v>-2.5773081081698117E-2</v>
          </cell>
        </row>
        <row r="91">
          <cell r="J91" t="str">
            <v>BONUS ISSUES</v>
          </cell>
          <cell r="M91">
            <v>2800003.61</v>
          </cell>
          <cell r="O91">
            <v>2079743.64</v>
          </cell>
          <cell r="Q91">
            <v>2842023.89</v>
          </cell>
          <cell r="W91">
            <v>2928568.07</v>
          </cell>
          <cell r="Y91">
            <v>2728886.03</v>
          </cell>
          <cell r="Z91">
            <v>2.9440972280182703E-2</v>
          </cell>
          <cell r="AA91">
            <v>2138870.67</v>
          </cell>
          <cell r="AB91">
            <v>2.8366578321554002E-2</v>
          </cell>
          <cell r="AC91">
            <v>2629626.63</v>
          </cell>
          <cell r="AD91">
            <v>2.6609789171813107E-2</v>
          </cell>
          <cell r="AE91">
            <v>2728958.74</v>
          </cell>
          <cell r="AF91">
            <v>3.0285725319315046E-2</v>
          </cell>
          <cell r="AG91">
            <v>2406539.96</v>
          </cell>
          <cell r="AH91">
            <v>2.9805763919435187E-2</v>
          </cell>
          <cell r="AI91">
            <v>1891047.49</v>
          </cell>
          <cell r="AJ91">
            <v>1.4650369956776568E-2</v>
          </cell>
          <cell r="AL91" t="e">
            <v>#DIV/0!</v>
          </cell>
          <cell r="AO91">
            <v>1855938.840000001</v>
          </cell>
          <cell r="AP91">
            <v>1.8559198454027499E-2</v>
          </cell>
          <cell r="AQ91">
            <v>27030207.57</v>
          </cell>
          <cell r="AR91">
            <v>2.6052288893356278E-2</v>
          </cell>
        </row>
        <row r="92">
          <cell r="J92" t="str">
            <v>REIMBURSEMENT</v>
          </cell>
          <cell r="M92">
            <v>-6646110.9199999999</v>
          </cell>
          <cell r="O92">
            <v>-8429288.7200000025</v>
          </cell>
          <cell r="Q92">
            <v>-8403148.2799999975</v>
          </cell>
          <cell r="W92">
            <v>-7315602.549999997</v>
          </cell>
          <cell r="X92">
            <v>-7.8800082589601403E-2</v>
          </cell>
          <cell r="Y92">
            <v>-6664030.0700000077</v>
          </cell>
          <cell r="Z92">
            <v>-7.1895829436736947E-2</v>
          </cell>
          <cell r="AA92">
            <v>-6637305.9399999976</v>
          </cell>
          <cell r="AB92">
            <v>-8.8026668200151412E-2</v>
          </cell>
          <cell r="AC92">
            <v>-6099565.3900000043</v>
          </cell>
          <cell r="AD92">
            <v>-6.172288765861339E-2</v>
          </cell>
          <cell r="AE92">
            <v>-4928032.8899999997</v>
          </cell>
          <cell r="AF92">
            <v>-5.4690841705833292E-2</v>
          </cell>
          <cell r="AG92">
            <v>-8669141.0399999879</v>
          </cell>
          <cell r="AH92">
            <v>-0.10737007301658373</v>
          </cell>
          <cell r="AI92">
            <v>-11530180.750000015</v>
          </cell>
          <cell r="AJ92">
            <v>-8.93269019150882E-2</v>
          </cell>
          <cell r="AL92" t="e">
            <v>#DIV/0!</v>
          </cell>
          <cell r="AO92">
            <v>-11129797.030000005</v>
          </cell>
          <cell r="AP92">
            <v>-0.11129683122145113</v>
          </cell>
          <cell r="AQ92">
            <v>-86452203.580000013</v>
          </cell>
          <cell r="AR92">
            <v>-8.3324472344531469E-2</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2.7716823044279859E-2</v>
          </cell>
          <cell r="O94">
            <v>2503179.9300000002</v>
          </cell>
          <cell r="P94">
            <v>2.6516372527938023E-2</v>
          </cell>
          <cell r="Q94">
            <v>2594209.56</v>
          </cell>
          <cell r="V94">
            <v>2.5703359231828506E-2</v>
          </cell>
          <cell r="W94">
            <v>2689824.94</v>
          </cell>
          <cell r="X94">
            <v>2.8973474976927184E-2</v>
          </cell>
          <cell r="Y94">
            <v>2723822.3</v>
          </cell>
          <cell r="Z94">
            <v>2.938634151402926E-2</v>
          </cell>
          <cell r="AA94">
            <v>2785071.96</v>
          </cell>
          <cell r="AB94">
            <v>3.6936764336716027E-2</v>
          </cell>
          <cell r="AC94">
            <v>2496696.58</v>
          </cell>
          <cell r="AD94">
            <v>2.5264639801653829E-2</v>
          </cell>
          <cell r="AE94">
            <v>3833457.14</v>
          </cell>
          <cell r="AF94">
            <v>4.2543343826959817E-2</v>
          </cell>
          <cell r="AG94">
            <v>3100898.73</v>
          </cell>
          <cell r="AH94">
            <v>3.8405618448345398E-2</v>
          </cell>
          <cell r="AI94">
            <v>2683966.7200000002</v>
          </cell>
          <cell r="AJ94">
            <v>2.0793293456462136E-2</v>
          </cell>
          <cell r="AL94" t="e">
            <v>#DIV/0!</v>
          </cell>
          <cell r="AO94">
            <v>3265048.6699999948</v>
          </cell>
          <cell r="AP94">
            <v>3.2650152538748749E-2</v>
          </cell>
          <cell r="AQ94">
            <v>30963614.489999998</v>
          </cell>
          <cell r="AR94">
            <v>2.9843390132575011E-2</v>
          </cell>
        </row>
        <row r="95">
          <cell r="J95" t="str">
            <v>SALES INDIRECT EXPENSES</v>
          </cell>
          <cell r="M95">
            <v>5477590.1100000003</v>
          </cell>
          <cell r="N95">
            <v>6.637180917814596E-2</v>
          </cell>
          <cell r="O95">
            <v>7911501.3099999996</v>
          </cell>
          <cell r="P95">
            <v>8.3807126078719263E-2</v>
          </cell>
          <cell r="Q95">
            <v>6306098.379999998</v>
          </cell>
          <cell r="V95">
            <v>6.248065480584835E-2</v>
          </cell>
          <cell r="W95">
            <v>5914593.2699999968</v>
          </cell>
          <cell r="X95">
            <v>6.3709097777585044E-2</v>
          </cell>
          <cell r="Y95">
            <v>5323221.8800000055</v>
          </cell>
          <cell r="Z95">
            <v>5.7430330943627657E-2</v>
          </cell>
          <cell r="AA95">
            <v>4965195.2399999918</v>
          </cell>
          <cell r="AB95">
            <v>6.585045165786807E-2</v>
          </cell>
          <cell r="AC95">
            <v>5092285.8800000092</v>
          </cell>
          <cell r="AD95">
            <v>5.152999749983557E-2</v>
          </cell>
          <cell r="AE95">
            <v>3566304.68</v>
          </cell>
          <cell r="AF95">
            <v>3.957851115897331E-2</v>
          </cell>
          <cell r="AG95">
            <v>8046773.0899999924</v>
          </cell>
          <cell r="AH95">
            <v>9.9661847723402752E-2</v>
          </cell>
          <cell r="AI95">
            <v>8328739.6300000064</v>
          </cell>
          <cell r="AJ95">
            <v>6.4524617968830855E-2</v>
          </cell>
          <cell r="AL95" t="e">
            <v>#DIV/0!</v>
          </cell>
          <cell r="AO95">
            <v>8482295.3500000127</v>
          </cell>
          <cell r="AP95">
            <v>8.4822085379885032E-2</v>
          </cell>
          <cell r="AQ95">
            <v>69414598.820000008</v>
          </cell>
          <cell r="AR95">
            <v>6.6903266546948975E-2</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5.4934276688892225E-2</v>
          </cell>
          <cell r="O97">
            <v>5244088.1499999966</v>
          </cell>
          <cell r="P97">
            <v>5.5551018641614484E-2</v>
          </cell>
          <cell r="Q97">
            <v>4608139.1500000004</v>
          </cell>
          <cell r="V97">
            <v>4.5657319974837678E-2</v>
          </cell>
          <cell r="W97">
            <v>5239573.16</v>
          </cell>
          <cell r="X97">
            <v>5.6438112229355457E-2</v>
          </cell>
          <cell r="Y97">
            <v>5614304.8499999978</v>
          </cell>
          <cell r="Z97">
            <v>6.0570720669248783E-2</v>
          </cell>
          <cell r="AA97">
            <v>4677809.2799999947</v>
          </cell>
          <cell r="AB97">
            <v>6.2039021421716904E-2</v>
          </cell>
          <cell r="AC97">
            <v>5138976.9600000046</v>
          </cell>
          <cell r="AD97">
            <v>5.2002475143935231E-2</v>
          </cell>
          <cell r="AE97">
            <v>6274415.9000000013</v>
          </cell>
          <cell r="AF97">
            <v>6.9632872678222657E-2</v>
          </cell>
          <cell r="AG97">
            <v>6307495.5200000033</v>
          </cell>
          <cell r="AH97">
            <v>7.8120341036022181E-2</v>
          </cell>
          <cell r="AI97">
            <v>4074333.2599999923</v>
          </cell>
          <cell r="AJ97">
            <v>3.1564775555266156E-2</v>
          </cell>
          <cell r="AK97">
            <v>0</v>
          </cell>
          <cell r="AL97" t="e">
            <v>#DIV/0!</v>
          </cell>
          <cell r="AM97">
            <v>0</v>
          </cell>
          <cell r="AO97">
            <v>4272702.9200000037</v>
          </cell>
          <cell r="AP97">
            <v>4.2726591910422433E-2</v>
          </cell>
          <cell r="AQ97">
            <v>55985502.679999992</v>
          </cell>
          <cell r="AR97">
            <v>5.3960018097601752E-2</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6.1288689379251774E-4</v>
          </cell>
          <cell r="O102">
            <v>43077.19</v>
          </cell>
          <cell r="P102">
            <v>4.5631990086176768E-4</v>
          </cell>
          <cell r="Q102">
            <v>43077.19</v>
          </cell>
          <cell r="V102">
            <v>4.2680765129388029E-4</v>
          </cell>
          <cell r="W102">
            <v>43077.19</v>
          </cell>
          <cell r="X102">
            <v>4.6400636263761388E-4</v>
          </cell>
          <cell r="Y102">
            <v>23029.68</v>
          </cell>
          <cell r="Z102">
            <v>2.4845895469715825E-4</v>
          </cell>
          <cell r="AA102">
            <v>23029.68</v>
          </cell>
          <cell r="AB102">
            <v>3.0542904281366664E-4</v>
          </cell>
          <cell r="AC102">
            <v>23029.68</v>
          </cell>
          <cell r="AD102">
            <v>2.3304256296427942E-4</v>
          </cell>
          <cell r="AE102">
            <v>23029.68</v>
          </cell>
          <cell r="AF102">
            <v>2.5558120481943355E-4</v>
          </cell>
          <cell r="AG102">
            <v>23029.68</v>
          </cell>
          <cell r="AH102">
            <v>2.8522992205794835E-4</v>
          </cell>
          <cell r="AI102">
            <v>23029.68</v>
          </cell>
          <cell r="AJ102">
            <v>1.7841610735337915E-4</v>
          </cell>
          <cell r="AL102">
            <v>0</v>
          </cell>
          <cell r="AO102">
            <v>23029.680000000037</v>
          </cell>
          <cell r="AP102">
            <v>2.3029444302849356E-4</v>
          </cell>
          <cell r="AQ102">
            <v>341020.19</v>
          </cell>
          <cell r="AR102">
            <v>3.2868251142132267E-4</v>
          </cell>
        </row>
        <row r="103">
          <cell r="J103" t="str">
            <v>O. D. INTEREST</v>
          </cell>
          <cell r="M103">
            <v>743861.71</v>
          </cell>
          <cell r="N103">
            <v>9.0133519448481227E-3</v>
          </cell>
          <cell r="O103">
            <v>458918.16</v>
          </cell>
          <cell r="P103">
            <v>4.8613544494166125E-3</v>
          </cell>
          <cell r="Q103">
            <v>526551.41</v>
          </cell>
          <cell r="V103">
            <v>5.2170573472313537E-3</v>
          </cell>
          <cell r="W103">
            <v>211250.17</v>
          </cell>
          <cell r="X103">
            <v>2.2754832195014947E-3</v>
          </cell>
          <cell r="Y103">
            <v>44107.18</v>
          </cell>
          <cell r="Z103">
            <v>4.7585653979731392E-4</v>
          </cell>
          <cell r="AA103">
            <v>154389.54</v>
          </cell>
          <cell r="AB103">
            <v>2.0475772751789123E-3</v>
          </cell>
          <cell r="AC103">
            <v>223963.06</v>
          </cell>
          <cell r="AD103">
            <v>2.2663330759143284E-3</v>
          </cell>
          <cell r="AE103">
            <v>366949.94</v>
          </cell>
          <cell r="AF103">
            <v>4.0723756375954353E-3</v>
          </cell>
          <cell r="AG103">
            <v>379831.7</v>
          </cell>
          <cell r="AH103">
            <v>4.7043365859246863E-3</v>
          </cell>
          <cell r="AI103">
            <v>124981.03000000061</v>
          </cell>
          <cell r="AJ103">
            <v>9.6825613146235676E-4</v>
          </cell>
          <cell r="AL103" t="e">
            <v>#DIV/0!</v>
          </cell>
          <cell r="AO103">
            <v>248729.14999999903</v>
          </cell>
          <cell r="AP103">
            <v>2.4872660438269361E-3</v>
          </cell>
          <cell r="AQ103">
            <v>3483533.05</v>
          </cell>
          <cell r="AR103">
            <v>3.3575032360787199E-3</v>
          </cell>
        </row>
        <row r="104">
          <cell r="J104" t="str">
            <v>T. R.  LOAN  INTEREST</v>
          </cell>
          <cell r="M104">
            <v>1567010.15</v>
          </cell>
          <cell r="N104">
            <v>1.8987419023220389E-2</v>
          </cell>
          <cell r="O104">
            <v>926819.36</v>
          </cell>
          <cell r="P104">
            <v>9.8178669145310305E-3</v>
          </cell>
          <cell r="Q104">
            <v>1160544.1000000001</v>
          </cell>
          <cell r="V104">
            <v>1.1498640035340516E-2</v>
          </cell>
          <cell r="W104">
            <v>985084.1</v>
          </cell>
          <cell r="X104">
            <v>1.0610842771618749E-2</v>
          </cell>
          <cell r="Y104">
            <v>1130372.57</v>
          </cell>
          <cell r="Z104">
            <v>1.2195184091161508E-2</v>
          </cell>
          <cell r="AA104">
            <v>619189.71999999951</v>
          </cell>
          <cell r="AB104">
            <v>8.2119475172760577E-3</v>
          </cell>
          <cell r="AC104">
            <v>483943.6100000008</v>
          </cell>
          <cell r="AD104">
            <v>4.8971353142807832E-3</v>
          </cell>
          <cell r="AE104">
            <v>-149435.34000000171</v>
          </cell>
          <cell r="AF104">
            <v>-1.658419232911709E-3</v>
          </cell>
          <cell r="AG104">
            <v>110308.46000000089</v>
          </cell>
          <cell r="AH104">
            <v>1.3662054118047913E-3</v>
          </cell>
          <cell r="AI104">
            <v>410504.71000000089</v>
          </cell>
          <cell r="AJ104">
            <v>3.1802722577312379E-3</v>
          </cell>
          <cell r="AL104" t="e">
            <v>#DIV/0!</v>
          </cell>
          <cell r="AO104">
            <v>515460.64999999851</v>
          </cell>
          <cell r="AP104">
            <v>5.1545537452042205E-3</v>
          </cell>
          <cell r="AQ104">
            <v>7759802.0899999999</v>
          </cell>
          <cell r="AR104">
            <v>7.4790622780241496E-3</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2.5822888428063224E-3</v>
          </cell>
          <cell r="W106">
            <v>185972.49</v>
          </cell>
          <cell r="X106">
            <v>2.0032044484693643E-3</v>
          </cell>
          <cell r="Y106">
            <v>120131.38</v>
          </cell>
          <cell r="Z106">
            <v>1.2960543568615414E-3</v>
          </cell>
          <cell r="AA106">
            <v>157530.84</v>
          </cell>
          <cell r="AB106">
            <v>2.0892384815956134E-3</v>
          </cell>
          <cell r="AC106">
            <v>131432.76999999999</v>
          </cell>
          <cell r="AD106">
            <v>1.3299980537417218E-3</v>
          </cell>
          <cell r="AE106">
            <v>151728.93</v>
          </cell>
          <cell r="AF106">
            <v>1.6838732772389148E-3</v>
          </cell>
          <cell r="AG106">
            <v>151403.76</v>
          </cell>
          <cell r="AH106">
            <v>1.8751837917018526E-3</v>
          </cell>
          <cell r="AI106">
            <v>140223.57</v>
          </cell>
          <cell r="AJ106">
            <v>1.0863435149161464E-3</v>
          </cell>
          <cell r="AL106" t="e">
            <v>#DIV/0!</v>
          </cell>
          <cell r="AO106">
            <v>144737.7899999998</v>
          </cell>
          <cell r="AP106">
            <v>1.4473630868177484E-3</v>
          </cell>
          <cell r="AQ106">
            <v>1443788.88</v>
          </cell>
          <cell r="AR106">
            <v>1.391554426852494E-3</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6.5250271768367042E-3</v>
          </cell>
          <cell r="O108">
            <v>614727.26</v>
          </cell>
          <cell r="P108">
            <v>6.5118519183871111E-3</v>
          </cell>
          <cell r="Q108">
            <v>824105.96</v>
          </cell>
          <cell r="V108">
            <v>8.1652199041972896E-3</v>
          </cell>
          <cell r="W108">
            <v>423617.2</v>
          </cell>
          <cell r="X108">
            <v>4.5629967071373649E-3</v>
          </cell>
          <cell r="Y108">
            <v>655120.55000000005</v>
          </cell>
          <cell r="Z108">
            <v>7.0678605631353713E-3</v>
          </cell>
          <cell r="AA108">
            <v>659110</v>
          </cell>
          <cell r="AB108">
            <v>8.741386611056506E-3</v>
          </cell>
          <cell r="AC108">
            <v>360740</v>
          </cell>
          <cell r="AD108">
            <v>3.6504099997800299E-3</v>
          </cell>
          <cell r="AE108">
            <v>627779</v>
          </cell>
          <cell r="AF108">
            <v>6.9670318120069038E-3</v>
          </cell>
          <cell r="AG108">
            <v>467327.67000000086</v>
          </cell>
          <cell r="AH108">
            <v>5.7880020429994187E-3</v>
          </cell>
          <cell r="AI108">
            <v>1021398.33</v>
          </cell>
          <cell r="AJ108">
            <v>7.9130024427539677E-3</v>
          </cell>
          <cell r="AL108" t="e">
            <v>#DIV/0!</v>
          </cell>
          <cell r="AO108">
            <v>933231.99999999919</v>
          </cell>
          <cell r="AP108">
            <v>9.3322244884152354E-3</v>
          </cell>
          <cell r="AQ108">
            <v>7125661.0599999996</v>
          </cell>
          <cell r="AR108">
            <v>6.867863667362111E-3</v>
          </cell>
        </row>
        <row r="109">
          <cell r="J109" t="str">
            <v>GAINS ON REIMBURSEMENTS</v>
          </cell>
          <cell r="M109">
            <v>-364193</v>
          </cell>
          <cell r="N109">
            <v>-4.4129165955457935E-3</v>
          </cell>
          <cell r="O109">
            <v>-415325.17</v>
          </cell>
          <cell r="P109">
            <v>-4.3995706405129207E-3</v>
          </cell>
          <cell r="Q109">
            <v>-7800.4699999999139</v>
          </cell>
          <cell r="V109">
            <v>-7.7286849018896953E-5</v>
          </cell>
          <cell r="W109">
            <v>-434273.65</v>
          </cell>
          <cell r="X109">
            <v>-4.6777827598750111E-3</v>
          </cell>
          <cell r="Y109">
            <v>-73099.91</v>
          </cell>
          <cell r="Z109">
            <v>-7.8864870146073875E-4</v>
          </cell>
          <cell r="AA109">
            <v>-77541.75</v>
          </cell>
          <cell r="AB109">
            <v>-1.0283904283774953E-3</v>
          </cell>
          <cell r="AC109">
            <v>-44843.320000000094</v>
          </cell>
          <cell r="AD109">
            <v>-4.5377974095286397E-4</v>
          </cell>
          <cell r="AE109">
            <v>-6963.3600000001024</v>
          </cell>
          <cell r="AF109">
            <v>-7.7278708969967316E-5</v>
          </cell>
          <cell r="AG109">
            <v>-53392.75</v>
          </cell>
          <cell r="AH109">
            <v>-6.6128621504769154E-4</v>
          </cell>
          <cell r="AI109">
            <v>-1088260.01</v>
          </cell>
          <cell r="AJ109">
            <v>-8.430994906249217E-3</v>
          </cell>
          <cell r="AL109" t="e">
            <v>#DIV/0!</v>
          </cell>
          <cell r="AO109">
            <v>-1119799.7099999997</v>
          </cell>
          <cell r="AP109">
            <v>-1.1197882494151814E-2</v>
          </cell>
          <cell r="AQ109">
            <v>-3685493.1</v>
          </cell>
          <cell r="AR109">
            <v>-3.5521566272482454E-3</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2535762.8099999996</v>
          </cell>
          <cell r="N111">
            <v>3.0725768443151936E-2</v>
          </cell>
          <cell r="O111">
            <v>1628216.8</v>
          </cell>
          <cell r="P111">
            <v>1.7247822542683602E-2</v>
          </cell>
          <cell r="Q111">
            <v>2807105.5400000005</v>
          </cell>
          <cell r="V111">
            <v>2.7812726931850468E-2</v>
          </cell>
          <cell r="W111">
            <v>1414727.5</v>
          </cell>
          <cell r="X111">
            <v>1.5238750749489577E-2</v>
          </cell>
          <cell r="Y111">
            <v>1899661.4500000002</v>
          </cell>
          <cell r="Z111">
            <v>2.0494765804192155E-2</v>
          </cell>
          <cell r="AA111">
            <v>1535708.0299999993</v>
          </cell>
          <cell r="AB111">
            <v>2.0367188499543259E-2</v>
          </cell>
          <cell r="AC111">
            <v>1178265.8000000007</v>
          </cell>
          <cell r="AD111">
            <v>1.1923139265728279E-2</v>
          </cell>
          <cell r="AE111">
            <v>1013088.8499999982</v>
          </cell>
          <cell r="AF111">
            <v>1.1243163989779013E-2</v>
          </cell>
          <cell r="AG111">
            <v>1078508.5200000019</v>
          </cell>
          <cell r="AH111">
            <v>1.3357671539441007E-2</v>
          </cell>
          <cell r="AI111">
            <v>631877.31000000169</v>
          </cell>
          <cell r="AJ111">
            <v>4.8952955479678716E-3</v>
          </cell>
          <cell r="AK111">
            <v>0</v>
          </cell>
          <cell r="AL111" t="e">
            <v>#DIV/0!</v>
          </cell>
          <cell r="AM111">
            <v>0</v>
          </cell>
          <cell r="AO111">
            <v>745389.55999999703</v>
          </cell>
          <cell r="AP111">
            <v>7.4538193131408218E-3</v>
          </cell>
          <cell r="AQ111">
            <v>16468312.17</v>
          </cell>
          <cell r="AR111">
            <v>1.5872509492490552E-2</v>
          </cell>
        </row>
        <row r="112">
          <cell r="J112" t="str">
            <v>TOTAL OVERHEADS</v>
          </cell>
          <cell r="M112">
            <v>14692174.65</v>
          </cell>
          <cell r="N112">
            <v>0.17802467740358055</v>
          </cell>
          <cell r="O112">
            <v>14112188.119999995</v>
          </cell>
          <cell r="P112">
            <v>0.14949146599072533</v>
          </cell>
          <cell r="Q112">
            <v>14643681.880000001</v>
          </cell>
          <cell r="V112">
            <v>0.14508921007840933</v>
          </cell>
          <cell r="W112">
            <v>13772767.42</v>
          </cell>
          <cell r="X112">
            <v>0.14835349552763386</v>
          </cell>
          <cell r="Y112">
            <v>15343864.589999998</v>
          </cell>
          <cell r="Z112">
            <v>0.16553944983369895</v>
          </cell>
          <cell r="AA112">
            <v>14492268.829999993</v>
          </cell>
          <cell r="AB112">
            <v>0.19220240129021479</v>
          </cell>
          <cell r="AC112">
            <v>14385668.120000005</v>
          </cell>
          <cell r="AD112">
            <v>0.14557184331863615</v>
          </cell>
          <cell r="AE112">
            <v>15073232.270000001</v>
          </cell>
          <cell r="AF112">
            <v>0.16728130239281508</v>
          </cell>
          <cell r="AG112">
            <v>15442312.869999999</v>
          </cell>
          <cell r="AH112">
            <v>0.19125796347602539</v>
          </cell>
          <cell r="AI112">
            <v>13033527.029999994</v>
          </cell>
          <cell r="AJ112">
            <v>0.10097366345418815</v>
          </cell>
          <cell r="AK112">
            <v>0</v>
          </cell>
          <cell r="AL112" t="e">
            <v>#DIV/0!</v>
          </cell>
          <cell r="AM112">
            <v>0</v>
          </cell>
          <cell r="AO112">
            <v>13572278.580000008</v>
          </cell>
          <cell r="AP112">
            <v>0.13572139674579284</v>
          </cell>
          <cell r="AQ112">
            <v>158563964.36000001</v>
          </cell>
          <cell r="AR112">
            <v>0.15282732094767146</v>
          </cell>
        </row>
        <row r="115">
          <cell r="J115" t="str">
            <v>PROFIT FROM NORMAL OPERATIONS</v>
          </cell>
          <cell r="M115">
            <v>1997989.3299999963</v>
          </cell>
          <cell r="N115">
            <v>2.4209581930680724E-2</v>
          </cell>
          <cell r="O115">
            <v>4800073.720000023</v>
          </cell>
          <cell r="P115">
            <v>5.0847540520623249E-2</v>
          </cell>
          <cell r="Q115">
            <v>6206431.7100000326</v>
          </cell>
          <cell r="V115">
            <v>6.1493160093798481E-2</v>
          </cell>
          <cell r="W115">
            <v>6241399.4500000197</v>
          </cell>
          <cell r="X115">
            <v>6.722929366012298E-2</v>
          </cell>
          <cell r="Y115">
            <v>5323062.7899999078</v>
          </cell>
          <cell r="Z115">
            <v>5.7428614578696531E-2</v>
          </cell>
          <cell r="AA115">
            <v>2493022.3499999102</v>
          </cell>
          <cell r="AB115">
            <v>3.3063482865309045E-2</v>
          </cell>
          <cell r="AC115">
            <v>6292262.4100000411</v>
          </cell>
          <cell r="AD115">
            <v>8.3450559669901087E-2</v>
          </cell>
          <cell r="AE115">
            <v>4140571.5099999104</v>
          </cell>
          <cell r="AF115">
            <v>4.5951669982683137E-2</v>
          </cell>
          <cell r="AG115">
            <v>4116491.2500000652</v>
          </cell>
          <cell r="AH115">
            <v>5.0984055288208305E-2</v>
          </cell>
          <cell r="AI115">
            <v>12608350.199999876</v>
          </cell>
          <cell r="AJ115">
            <v>9.7679722984955822E-2</v>
          </cell>
          <cell r="AK115">
            <v>0</v>
          </cell>
          <cell r="AL115">
            <v>0</v>
          </cell>
          <cell r="AM115">
            <v>0</v>
          </cell>
          <cell r="AO115">
            <v>7819433.7000000384</v>
          </cell>
          <cell r="AP115">
            <v>7.8193536720429405E-2</v>
          </cell>
          <cell r="AQ115">
            <v>62039088.419999838</v>
          </cell>
          <cell r="AR115">
            <v>5.9794592772278506E-2</v>
          </cell>
        </row>
        <row r="116">
          <cell r="AF116">
            <v>0</v>
          </cell>
          <cell r="AH116">
            <v>0</v>
          </cell>
          <cell r="AJ116">
            <v>0</v>
          </cell>
          <cell r="AL116">
            <v>0</v>
          </cell>
        </row>
        <row r="117">
          <cell r="J117" t="str">
            <v>OTHER   INCOME</v>
          </cell>
          <cell r="O117">
            <v>8325</v>
          </cell>
          <cell r="P117">
            <v>8.8187348679758719E-5</v>
          </cell>
          <cell r="Q117">
            <v>98798.49</v>
          </cell>
          <cell r="Y117">
            <v>1412</v>
          </cell>
          <cell r="AA117">
            <v>-1412</v>
          </cell>
          <cell r="AC117">
            <v>39213.000000000218</v>
          </cell>
          <cell r="AE117">
            <v>1000</v>
          </cell>
          <cell r="AF117">
            <v>1.1097905173646943E-5</v>
          </cell>
          <cell r="AG117">
            <v>19431.39000000013</v>
          </cell>
          <cell r="AH117">
            <v>2.4066395430495058E-4</v>
          </cell>
          <cell r="AJ117">
            <v>0</v>
          </cell>
          <cell r="AL117">
            <v>0</v>
          </cell>
          <cell r="AO117">
            <v>0</v>
          </cell>
          <cell r="AP117">
            <v>0</v>
          </cell>
          <cell r="AQ117">
            <v>166767.88000000035</v>
          </cell>
          <cell r="AR117">
            <v>1.6073442930991823E-4</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8.2922017185815803E-5</v>
          </cell>
          <cell r="O120">
            <v>6572.81</v>
          </cell>
          <cell r="P120">
            <v>6.9626268741838435E-5</v>
          </cell>
          <cell r="Q120">
            <v>6890.99</v>
          </cell>
          <cell r="V120">
            <v>6.8275745400050839E-5</v>
          </cell>
          <cell r="W120">
            <v>6811.72</v>
          </cell>
          <cell r="X120">
            <v>7.3372506899959983E-5</v>
          </cell>
          <cell r="Y120">
            <v>7142.33</v>
          </cell>
          <cell r="Z120">
            <v>7.7056035772192854E-5</v>
          </cell>
          <cell r="AA120">
            <v>6658.11</v>
          </cell>
          <cell r="AB120">
            <v>8.8302580159520315E-5</v>
          </cell>
          <cell r="AC120">
            <v>6774.0600000000077</v>
          </cell>
          <cell r="AD120">
            <v>6.8548251824333137E-5</v>
          </cell>
          <cell r="AE120">
            <v>6430.6499999999915</v>
          </cell>
          <cell r="AF120">
            <v>7.1366743904912613E-5</v>
          </cell>
          <cell r="AG120">
            <v>6206</v>
          </cell>
          <cell r="AH120">
            <v>7.6863286693155421E-5</v>
          </cell>
          <cell r="AI120">
            <v>5551.93</v>
          </cell>
          <cell r="AJ120">
            <v>4.3012049620248585E-5</v>
          </cell>
          <cell r="AL120">
            <v>0</v>
          </cell>
          <cell r="AO120">
            <v>5516.8300000000017</v>
          </cell>
          <cell r="AP120">
            <v>5.5167735380295451E-5</v>
          </cell>
          <cell r="AQ120">
            <v>71398.89</v>
          </cell>
          <cell r="AR120">
            <v>6.8815768585123237E-5</v>
          </cell>
        </row>
        <row r="121">
          <cell r="J121" t="str">
            <v>TRADE  COMMISSION</v>
          </cell>
          <cell r="M121">
            <v>1000000</v>
          </cell>
          <cell r="N121">
            <v>1.2116972581971079E-2</v>
          </cell>
          <cell r="O121">
            <v>1089931.32</v>
          </cell>
          <cell r="P121">
            <v>1.1545724126586148E-2</v>
          </cell>
          <cell r="Q121">
            <v>641924.09</v>
          </cell>
          <cell r="V121">
            <v>6.3601667880811494E-3</v>
          </cell>
          <cell r="W121">
            <v>1946109.53</v>
          </cell>
          <cell r="X121">
            <v>2.09625373500383E-2</v>
          </cell>
          <cell r="Y121">
            <v>343092.34</v>
          </cell>
          <cell r="Z121">
            <v>3.7015001581004172E-3</v>
          </cell>
          <cell r="AA121">
            <v>1095648.94</v>
          </cell>
          <cell r="AB121">
            <v>1.4530944720204901E-2</v>
          </cell>
          <cell r="AC121">
            <v>453386.23</v>
          </cell>
          <cell r="AD121">
            <v>4.5879182451476642E-3</v>
          </cell>
          <cell r="AE121">
            <v>1304601.17</v>
          </cell>
          <cell r="AF121">
            <v>1.4478340074088854E-2</v>
          </cell>
          <cell r="AG121">
            <v>1697604.69</v>
          </cell>
          <cell r="AH121">
            <v>2.1025374795216763E-2</v>
          </cell>
          <cell r="AI121">
            <v>4.6566128730773926E-10</v>
          </cell>
          <cell r="AJ121">
            <v>3.6075826597074009E-18</v>
          </cell>
          <cell r="AL121">
            <v>0</v>
          </cell>
          <cell r="AO121">
            <v>2195823.3899999978</v>
          </cell>
          <cell r="AP121">
            <v>2.1958009168559323E-2</v>
          </cell>
          <cell r="AQ121">
            <v>11768121.699999999</v>
          </cell>
          <cell r="AR121">
            <v>1.1342365960994171E-2</v>
          </cell>
        </row>
        <row r="122">
          <cell r="J122" t="str">
            <v>PROFIT/LOSS  ON  DISPOSALS</v>
          </cell>
          <cell r="M122">
            <v>0</v>
          </cell>
          <cell r="N122">
            <v>0</v>
          </cell>
          <cell r="O122">
            <v>0</v>
          </cell>
          <cell r="P122">
            <v>0</v>
          </cell>
          <cell r="V122">
            <v>0</v>
          </cell>
          <cell r="W122">
            <v>2420100</v>
          </cell>
          <cell r="X122">
            <v>2.6068130215069492E-2</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7.3749245205974952E-5</v>
          </cell>
          <cell r="AQ122">
            <v>2427475</v>
          </cell>
          <cell r="AR122">
            <v>2.3396520288504774E-3</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1.2199894599156895E-2</v>
          </cell>
          <cell r="O124">
            <v>1104829.1300000001</v>
          </cell>
          <cell r="P124">
            <v>1.1703537744007746E-2</v>
          </cell>
          <cell r="Q124">
            <v>747613.57</v>
          </cell>
          <cell r="V124">
            <v>7.4073353412126676E-3</v>
          </cell>
          <cell r="W124">
            <v>4373021.25</v>
          </cell>
          <cell r="X124">
            <v>4.7104040072007747E-2</v>
          </cell>
          <cell r="Y124">
            <v>351646.67000000004</v>
          </cell>
          <cell r="Z124">
            <v>3.7937897552608878E-3</v>
          </cell>
          <cell r="AA124">
            <v>1100895.05</v>
          </cell>
          <cell r="AB124">
            <v>1.460052077839569E-2</v>
          </cell>
          <cell r="AC124">
            <v>499373.29000000021</v>
          </cell>
          <cell r="AD124">
            <v>5.0532717509537443E-3</v>
          </cell>
          <cell r="AE124">
            <v>1312031.8199999998</v>
          </cell>
          <cell r="AF124">
            <v>1.4560804723167413E-2</v>
          </cell>
          <cell r="AG124">
            <v>1723242.08</v>
          </cell>
          <cell r="AH124">
            <v>2.1342902036214868E-2</v>
          </cell>
          <cell r="AI124">
            <v>5551.930000000466</v>
          </cell>
          <cell r="AJ124">
            <v>4.301204962025219E-5</v>
          </cell>
          <cell r="AK124">
            <v>0</v>
          </cell>
          <cell r="AL124">
            <v>0</v>
          </cell>
          <cell r="AO124">
            <v>2208715.2199999979</v>
          </cell>
          <cell r="AP124">
            <v>2.2086926149145595E-2</v>
          </cell>
          <cell r="AQ124">
            <v>14433763.469999999</v>
          </cell>
          <cell r="AR124">
            <v>1.3911568187739689E-2</v>
          </cell>
        </row>
        <row r="125">
          <cell r="N125">
            <v>0</v>
          </cell>
          <cell r="AH125">
            <v>0</v>
          </cell>
          <cell r="AJ125">
            <v>0</v>
          </cell>
          <cell r="AL125">
            <v>0</v>
          </cell>
          <cell r="AR125">
            <v>0</v>
          </cell>
        </row>
        <row r="126">
          <cell r="J126" t="str">
            <v>NET OPERAT. PROFIT/(LOSS)</v>
          </cell>
          <cell r="M126">
            <v>3004832.7899999963</v>
          </cell>
          <cell r="N126">
            <v>3.6409476529837621E-2</v>
          </cell>
          <cell r="O126">
            <v>5904902.8500000229</v>
          </cell>
          <cell r="P126">
            <v>6.2551078264630994E-2</v>
          </cell>
          <cell r="Q126">
            <v>6954045.2800000329</v>
          </cell>
          <cell r="V126">
            <v>6.8900495435011144E-2</v>
          </cell>
          <cell r="W126">
            <v>10614420.70000002</v>
          </cell>
          <cell r="X126">
            <v>0.11433333373213073</v>
          </cell>
          <cell r="Y126">
            <v>5674709.4599999078</v>
          </cell>
          <cell r="Z126">
            <v>6.1222404333957418E-2</v>
          </cell>
          <cell r="AA126">
            <v>3593917.39999991</v>
          </cell>
          <cell r="AB126">
            <v>4.7664003643704732E-2</v>
          </cell>
          <cell r="AC126">
            <v>6791635.7000000412</v>
          </cell>
          <cell r="AD126">
            <v>6.8726104324841136E-2</v>
          </cell>
          <cell r="AE126">
            <v>5452603.3299999107</v>
          </cell>
          <cell r="AF126">
            <v>6.0512474705850555E-2</v>
          </cell>
          <cell r="AG126">
            <v>5839733.3300000653</v>
          </cell>
          <cell r="AH126">
            <v>7.2326957324423166E-2</v>
          </cell>
          <cell r="AI126">
            <v>12613902.129999876</v>
          </cell>
          <cell r="AJ126">
            <v>9.7722735034576069E-2</v>
          </cell>
          <cell r="AK126">
            <v>0</v>
          </cell>
          <cell r="AL126">
            <v>0</v>
          </cell>
          <cell r="AO126">
            <v>10028148.920000035</v>
          </cell>
          <cell r="AP126">
            <v>0.10028046286957498</v>
          </cell>
          <cell r="AQ126">
            <v>76472851.889999837</v>
          </cell>
          <cell r="AR126">
            <v>7.3706160960018197E-2</v>
          </cell>
        </row>
      </sheetData>
      <sheetData sheetId="5" refreshError="1">
        <row r="1">
          <cell r="A1">
            <v>0</v>
          </cell>
        </row>
        <row r="4">
          <cell r="E4" t="str">
            <v xml:space="preserve">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xml:space="preserve">  LAST YEAR</v>
          </cell>
          <cell r="U9" t="str">
            <v>LAST YEAR  TO</v>
          </cell>
        </row>
        <row r="10">
          <cell r="B10">
            <v>37702.557254629632</v>
          </cell>
          <cell r="G10">
            <v>37680</v>
          </cell>
          <cell r="K10" t="str">
            <v>CUM</v>
          </cell>
          <cell r="L10" t="str">
            <v xml:space="preserve">    MONTH</v>
          </cell>
          <cell r="P10" t="str">
            <v xml:space="preserve">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100825.91711000008</v>
          </cell>
          <cell r="G13">
            <v>104633.48947640625</v>
          </cell>
          <cell r="I13">
            <v>-3807.5723664061661</v>
          </cell>
          <cell r="J13">
            <v>-3.6389614696590362E-2</v>
          </cell>
          <cell r="K13">
            <v>826108.21218000003</v>
          </cell>
          <cell r="L13">
            <v>80074.213329999911</v>
          </cell>
          <cell r="M13">
            <v>0.25915588698297604</v>
          </cell>
          <cell r="N13">
            <v>1039336.3297655554</v>
          </cell>
          <cell r="P13">
            <v>1118046.0958303311</v>
          </cell>
          <cell r="R13">
            <v>-78709.766064775642</v>
          </cell>
          <cell r="S13">
            <v>-7.0399392617458076E-2</v>
          </cell>
          <cell r="T13">
            <v>0</v>
          </cell>
          <cell r="U13">
            <v>906182.42550999997</v>
          </cell>
          <cell r="V13">
            <v>0.14693940260496266</v>
          </cell>
        </row>
        <row r="14">
          <cell r="A14" t="str">
            <v>GST/ VAT OUTPUT</v>
          </cell>
          <cell r="E14">
            <v>824.89364999999998</v>
          </cell>
          <cell r="G14">
            <v>0</v>
          </cell>
          <cell r="I14">
            <v>824.89364999999998</v>
          </cell>
          <cell r="N14">
            <v>1799.5635855555556</v>
          </cell>
          <cell r="P14">
            <v>568.43551868124996</v>
          </cell>
          <cell r="R14">
            <v>1231.1280668743057</v>
          </cell>
        </row>
        <row r="15">
          <cell r="A15" t="str">
            <v xml:space="preserve">LESS  T.T.  </v>
          </cell>
          <cell r="E15">
            <v>70.319120000000069</v>
          </cell>
          <cell r="G15">
            <v>63.9</v>
          </cell>
          <cell r="I15">
            <v>6.4191200000000705</v>
          </cell>
          <cell r="J15">
            <v>0.10045571205007936</v>
          </cell>
          <cell r="K15">
            <v>610.99753999999996</v>
          </cell>
          <cell r="L15">
            <v>52.822690000000001</v>
          </cell>
          <cell r="M15">
            <v>0.33122943947004718</v>
          </cell>
          <cell r="N15">
            <v>970.87443999999994</v>
          </cell>
          <cell r="P15">
            <v>666.4</v>
          </cell>
          <cell r="R15">
            <v>-304.47443999999996</v>
          </cell>
          <cell r="S15">
            <v>-0.45689441776710682</v>
          </cell>
          <cell r="U15">
            <v>663.82022999999992</v>
          </cell>
          <cell r="V15">
            <v>0.46255627069394983</v>
          </cell>
        </row>
        <row r="16">
          <cell r="E16">
            <v>99930.704340000084</v>
          </cell>
          <cell r="G16">
            <v>104569.58947640625</v>
          </cell>
          <cell r="I16">
            <v>-4638.8851364061666</v>
          </cell>
          <cell r="J16">
            <v>-4.4361703623717726E-2</v>
          </cell>
          <cell r="K16">
            <v>825497.21464000002</v>
          </cell>
          <cell r="L16">
            <v>80021.39063999991</v>
          </cell>
          <cell r="M16">
            <v>0.24879989638730671</v>
          </cell>
          <cell r="N16">
            <v>1036565.8917399999</v>
          </cell>
          <cell r="P16">
            <v>1116811.2603116499</v>
          </cell>
          <cell r="R16">
            <v>-80245.368571650004</v>
          </cell>
          <cell r="S16">
            <v>-7.1852220176627943E-2</v>
          </cell>
          <cell r="U16">
            <v>905518.60528000002</v>
          </cell>
          <cell r="V16">
            <v>0.14472070004511731</v>
          </cell>
        </row>
        <row r="17">
          <cell r="A17" t="str">
            <v>Normal Cost of Sales</v>
          </cell>
          <cell r="E17">
            <v>78929.707240000032</v>
          </cell>
          <cell r="N17">
            <v>818365.56726000004</v>
          </cell>
        </row>
        <row r="18">
          <cell r="A18" t="str">
            <v>Exchange Variance (Gain)/Loss</v>
          </cell>
          <cell r="E18">
            <v>-390.71517999999958</v>
          </cell>
          <cell r="N18">
            <v>-2402.7282999999998</v>
          </cell>
        </row>
        <row r="19">
          <cell r="A19" t="str">
            <v>COST OF SALES</v>
          </cell>
          <cell r="E19">
            <v>78538.992060000033</v>
          </cell>
          <cell r="G19">
            <v>83701.364144906256</v>
          </cell>
          <cell r="I19">
            <v>5162.3720849062229</v>
          </cell>
          <cell r="J19">
            <v>6.1676080642711781E-2</v>
          </cell>
          <cell r="K19">
            <v>650992.73081999994</v>
          </cell>
          <cell r="L19">
            <v>62826.683680000089</v>
          </cell>
          <cell r="M19">
            <v>0.2500897303449699</v>
          </cell>
          <cell r="N19">
            <v>815962.83896000008</v>
          </cell>
          <cell r="P19">
            <v>893797.71724119014</v>
          </cell>
          <cell r="R19">
            <v>77834.87828119006</v>
          </cell>
          <cell r="U19">
            <v>713819.41450000007</v>
          </cell>
          <cell r="V19">
            <v>0.14309420896256667</v>
          </cell>
        </row>
        <row r="21">
          <cell r="A21" t="str">
            <v>GP WITHOUT EXCHANGE</v>
          </cell>
          <cell r="E21">
            <v>21000.997100000051</v>
          </cell>
          <cell r="N21">
            <v>218200.32447999981</v>
          </cell>
        </row>
        <row r="22">
          <cell r="E22">
            <v>0</v>
          </cell>
        </row>
        <row r="23">
          <cell r="A23" t="str">
            <v>GROSS PROFIT</v>
          </cell>
          <cell r="E23">
            <v>21391.712280000051</v>
          </cell>
          <cell r="F23">
            <v>0.21406546087394496</v>
          </cell>
          <cell r="G23">
            <v>20868.225331499998</v>
          </cell>
          <cell r="H23">
            <v>0.19956304156868129</v>
          </cell>
          <cell r="I23">
            <v>523.48694850005268</v>
          </cell>
          <cell r="J23">
            <v>2.5085360167635525E-2</v>
          </cell>
          <cell r="K23">
            <v>174504.48382000008</v>
          </cell>
          <cell r="L23">
            <v>17194.706959999821</v>
          </cell>
          <cell r="M23">
            <v>0.24408705130967076</v>
          </cell>
          <cell r="N23">
            <v>220603.05277999979</v>
          </cell>
          <cell r="O23">
            <v>0.21282106090688666</v>
          </cell>
          <cell r="P23">
            <v>223013.54307045974</v>
          </cell>
          <cell r="Q23">
            <v>0.1996877637213535</v>
          </cell>
          <cell r="R23">
            <v>-2410.4902904599439</v>
          </cell>
          <cell r="S23">
            <v>-1.0808717072838776E-2</v>
          </cell>
          <cell r="U23">
            <v>191699.19077999995</v>
          </cell>
          <cell r="V23">
            <v>0.15077717272771815</v>
          </cell>
        </row>
        <row r="26">
          <cell r="A26" t="str">
            <v>LESS EXPENSES</v>
          </cell>
        </row>
        <row r="28">
          <cell r="A28" t="str">
            <v>ADMIN  EXPENSES</v>
          </cell>
          <cell r="E28">
            <v>8137.737150000009</v>
          </cell>
          <cell r="F28">
            <v>8.1433801590275093E-2</v>
          </cell>
          <cell r="G28">
            <v>6886.1298639308652</v>
          </cell>
          <cell r="H28">
            <v>6.5852126783806142E-2</v>
          </cell>
          <cell r="I28">
            <v>-1251.6072860691438</v>
          </cell>
          <cell r="J28">
            <v>-0.18175772324959882</v>
          </cell>
          <cell r="K28">
            <v>62887.907169999991</v>
          </cell>
          <cell r="L28">
            <v>6171.7261000000071</v>
          </cell>
          <cell r="M28">
            <v>0.31855124776195098</v>
          </cell>
          <cell r="N28">
            <v>80954.318729999999</v>
          </cell>
          <cell r="O28">
            <v>7.8098574702384321E-2</v>
          </cell>
          <cell r="P28">
            <v>76898.297107501421</v>
          </cell>
          <cell r="Q28">
            <v>6.8855230816747576E-2</v>
          </cell>
          <cell r="R28">
            <v>-4056.0216224985779</v>
          </cell>
          <cell r="S28">
            <v>-5.2745272328051505E-2</v>
          </cell>
          <cell r="U28">
            <v>69059.633269999991</v>
          </cell>
          <cell r="V28">
            <v>0.17223788915147839</v>
          </cell>
        </row>
        <row r="30">
          <cell r="A30" t="str">
            <v>SELLING  AND  DISTRIBUTION</v>
          </cell>
          <cell r="E30">
            <v>4272.7029200000034</v>
          </cell>
          <cell r="F30">
            <v>4.2756657708152804E-2</v>
          </cell>
          <cell r="G30">
            <v>5963.4180604544135</v>
          </cell>
          <cell r="H30">
            <v>5.7028224843513636E-2</v>
          </cell>
          <cell r="I30">
            <v>1690.7151404544102</v>
          </cell>
          <cell r="J30">
            <v>0.28351444143521565</v>
          </cell>
          <cell r="K30">
            <v>51792.013579999999</v>
          </cell>
          <cell r="L30">
            <v>4190.2797299999893</v>
          </cell>
          <cell r="M30">
            <v>1.9670092526260601E-2</v>
          </cell>
          <cell r="N30">
            <v>55985.502679999991</v>
          </cell>
          <cell r="O30">
            <v>5.40105584470097E-2</v>
          </cell>
          <cell r="P30">
            <v>67171.871554998535</v>
          </cell>
          <cell r="Q30">
            <v>6.0146126693111958E-2</v>
          </cell>
          <cell r="R30">
            <v>11186.368874998545</v>
          </cell>
          <cell r="S30">
            <v>0.16653352982489769</v>
          </cell>
          <cell r="U30">
            <v>55982.293309999986</v>
          </cell>
          <cell r="V30">
            <v>5.7328305259528298E-5</v>
          </cell>
        </row>
        <row r="31">
          <cell r="A31" t="str">
            <v>DEPRECIATION</v>
          </cell>
          <cell r="E31">
            <v>315.37566999999984</v>
          </cell>
          <cell r="F31">
            <v>3.1559436319689967E-3</v>
          </cell>
          <cell r="G31">
            <v>297.80260999999996</v>
          </cell>
          <cell r="H31">
            <v>2.8478892524216358E-3</v>
          </cell>
          <cell r="I31">
            <v>-17.573059999999884</v>
          </cell>
          <cell r="J31">
            <v>-5.9009086589267595E-2</v>
          </cell>
          <cell r="K31">
            <v>4739.6255300000012</v>
          </cell>
          <cell r="L31">
            <v>473.96254999999996</v>
          </cell>
          <cell r="M31">
            <v>-0.3345979128519756</v>
          </cell>
          <cell r="N31">
            <v>3469.1323700000003</v>
          </cell>
          <cell r="O31">
            <v>3.3467552787952983E-3</v>
          </cell>
          <cell r="P31">
            <v>3275.8287099999989</v>
          </cell>
          <cell r="Q31">
            <v>2.9331981386773159E-3</v>
          </cell>
          <cell r="R31">
            <v>-193.3036600000014</v>
          </cell>
          <cell r="S31">
            <v>-5.9009086589268421E-2</v>
          </cell>
          <cell r="U31">
            <v>5213.5880800000014</v>
          </cell>
          <cell r="V31">
            <v>-0.3345979166808285</v>
          </cell>
        </row>
        <row r="32">
          <cell r="E32">
            <v>0</v>
          </cell>
          <cell r="N32">
            <v>0</v>
          </cell>
        </row>
        <row r="33">
          <cell r="E33">
            <v>12725.815740000011</v>
          </cell>
          <cell r="F33">
            <v>0.12734640293039687</v>
          </cell>
          <cell r="G33">
            <v>13147.350534385279</v>
          </cell>
          <cell r="H33">
            <v>0.12572824087974144</v>
          </cell>
          <cell r="I33">
            <v>421.53479438526847</v>
          </cell>
          <cell r="J33">
            <v>3.2062337828659547E-2</v>
          </cell>
          <cell r="K33">
            <v>119419.54628</v>
          </cell>
          <cell r="L33">
            <v>10835.968379999997</v>
          </cell>
          <cell r="M33">
            <v>0.17440502719518039</v>
          </cell>
          <cell r="N33">
            <v>140408.95377999998</v>
          </cell>
          <cell r="O33">
            <v>0.13545588842818931</v>
          </cell>
          <cell r="P33">
            <v>147345.99737249996</v>
          </cell>
          <cell r="Q33">
            <v>0.13193455564853687</v>
          </cell>
          <cell r="R33">
            <v>6937.0435924999765</v>
          </cell>
          <cell r="S33">
            <v>4.7079959525216646E-2</v>
          </cell>
          <cell r="U33">
            <v>130255.51465999997</v>
          </cell>
          <cell r="V33">
            <v>-7.7950166996791415E-2</v>
          </cell>
        </row>
        <row r="34">
          <cell r="E34">
            <v>0</v>
          </cell>
        </row>
        <row r="36">
          <cell r="A36" t="str">
            <v xml:space="preserve">OPERATING   PROFIT  /  LOSS </v>
          </cell>
          <cell r="E36">
            <v>8665.8965400000397</v>
          </cell>
          <cell r="G36">
            <v>7720.8747971147186</v>
          </cell>
          <cell r="I36">
            <v>945.02174288532115</v>
          </cell>
          <cell r="J36">
            <v>0.12239827321620014</v>
          </cell>
          <cell r="K36">
            <v>55084.937540000086</v>
          </cell>
          <cell r="L36">
            <v>6358.7385799998247</v>
          </cell>
          <cell r="M36">
            <v>0.36283264848423424</v>
          </cell>
          <cell r="N36">
            <v>80194.098999999813</v>
          </cell>
          <cell r="P36">
            <v>75667.54569795978</v>
          </cell>
          <cell r="Q36">
            <v>6.7753208072816623E-2</v>
          </cell>
          <cell r="R36">
            <v>4526.5533020400326</v>
          </cell>
          <cell r="S36">
            <v>5.9821595378665514E-2</v>
          </cell>
          <cell r="U36">
            <v>61443.676119999975</v>
          </cell>
          <cell r="V36">
            <v>0.30516440525759098</v>
          </cell>
        </row>
        <row r="37">
          <cell r="A37" t="str">
            <v>ADD :  OTHER  INCOME</v>
          </cell>
          <cell r="E37">
            <v>2208.7152199999978</v>
          </cell>
          <cell r="F37">
            <v>2.2102468251250954E-2</v>
          </cell>
          <cell r="G37">
            <v>377.54909787728121</v>
          </cell>
          <cell r="H37">
            <v>3.6105056906861679E-3</v>
          </cell>
          <cell r="I37">
            <v>1831.1661221227166</v>
          </cell>
          <cell r="J37">
            <v>4.850140372254101</v>
          </cell>
          <cell r="K37">
            <v>10458.974970000001</v>
          </cell>
          <cell r="L37">
            <v>1022.37206</v>
          </cell>
          <cell r="M37">
            <v>1.1603830018594186</v>
          </cell>
          <cell r="N37">
            <v>14433.763469999998</v>
          </cell>
          <cell r="O37">
            <v>1.3924598122528612E-2</v>
          </cell>
          <cell r="P37">
            <v>7078.0400766500952</v>
          </cell>
          <cell r="Q37">
            <v>6.3377227004990482E-3</v>
          </cell>
          <cell r="R37">
            <v>7355.7233933499028</v>
          </cell>
          <cell r="S37">
            <v>1.0392316677629254</v>
          </cell>
          <cell r="U37">
            <v>11481.347030000001</v>
          </cell>
          <cell r="V37">
            <v>0.25714895928896919</v>
          </cell>
        </row>
        <row r="40">
          <cell r="E40">
            <v>10874.611760000038</v>
          </cell>
          <cell r="G40">
            <v>8098.423894992</v>
          </cell>
          <cell r="I40">
            <v>2776.187865008038</v>
          </cell>
          <cell r="J40">
            <v>0.3428059460711621</v>
          </cell>
          <cell r="K40">
            <v>65543.912510000082</v>
          </cell>
          <cell r="L40">
            <v>7381.1106399998243</v>
          </cell>
          <cell r="M40">
            <v>0.47330290662060809</v>
          </cell>
          <cell r="N40">
            <v>94627.862469999818</v>
          </cell>
          <cell r="P40">
            <v>82745.585774609877</v>
          </cell>
          <cell r="R40">
            <v>11882.276695389941</v>
          </cell>
          <cell r="S40">
            <v>0.14360012783951995</v>
          </cell>
          <cell r="U40">
            <v>72925.023149999979</v>
          </cell>
          <cell r="V40">
            <v>-0.29760483277954014</v>
          </cell>
        </row>
        <row r="41">
          <cell r="A41" t="str">
            <v>LESS  FINANCE  CHGS</v>
          </cell>
        </row>
        <row r="42">
          <cell r="A42" t="str">
            <v>Actual finance Charges</v>
          </cell>
          <cell r="E42">
            <v>1865.1892699999971</v>
          </cell>
          <cell r="F42">
            <v>1.866482661479053E-2</v>
          </cell>
          <cell r="G42">
            <v>1702.4649300000001</v>
          </cell>
          <cell r="H42">
            <v>1.6280688664117998E-2</v>
          </cell>
          <cell r="I42">
            <v>-162.72433999999703</v>
          </cell>
          <cell r="J42">
            <v>-9.5581610600341135E-2</v>
          </cell>
          <cell r="N42">
            <v>20153.805270000001</v>
          </cell>
          <cell r="O42">
            <v>1.9442859764726993E-2</v>
          </cell>
          <cell r="P42">
            <v>22084.988040000004</v>
          </cell>
          <cell r="Q42">
            <v>1.9775040622206044E-2</v>
          </cell>
          <cell r="R42">
            <v>1931.1827700000031</v>
          </cell>
          <cell r="S42">
            <v>8.7443233679922003E-2</v>
          </cell>
        </row>
        <row r="43">
          <cell r="A43" t="str">
            <v>Gains from re-imbursmenets</v>
          </cell>
          <cell r="E43">
            <v>-1119.79971</v>
          </cell>
          <cell r="F43">
            <v>-1.1205762206879279E-2</v>
          </cell>
          <cell r="H43">
            <v>0</v>
          </cell>
          <cell r="N43">
            <v>-3685.4931000000001</v>
          </cell>
          <cell r="O43">
            <v>-3.5554836690733275E-3</v>
          </cell>
          <cell r="Q43">
            <v>0</v>
          </cell>
        </row>
        <row r="44">
          <cell r="A44" t="str">
            <v>Net Finance Chgs</v>
          </cell>
          <cell r="E44">
            <v>745.389559999997</v>
          </cell>
          <cell r="F44">
            <v>7.4590644079112513E-3</v>
          </cell>
          <cell r="G44">
            <v>1702.4649300000001</v>
          </cell>
          <cell r="H44">
            <v>1.6280688664117998E-2</v>
          </cell>
          <cell r="I44">
            <v>957.07537000000309</v>
          </cell>
          <cell r="J44">
            <v>0.56217038785051687</v>
          </cell>
          <cell r="K44">
            <v>24576.84792</v>
          </cell>
          <cell r="L44">
            <v>2265.8106000000012</v>
          </cell>
          <cell r="M44">
            <v>-0.67102741950276135</v>
          </cell>
          <cell r="N44">
            <v>16468.312170000001</v>
          </cell>
          <cell r="O44">
            <v>1.5887376095653667E-2</v>
          </cell>
          <cell r="P44">
            <v>22084.988040000004</v>
          </cell>
          <cell r="Q44">
            <v>1.9775040622206044E-2</v>
          </cell>
          <cell r="R44">
            <v>5616.6758700000028</v>
          </cell>
          <cell r="S44">
            <v>0.25432098309617207</v>
          </cell>
          <cell r="U44">
            <v>26842.658520000001</v>
          </cell>
          <cell r="V44">
            <v>0.38648729008232374</v>
          </cell>
        </row>
        <row r="47">
          <cell r="A47" t="str">
            <v>NET  PROFIT  BEFORE  MANAGEMENT FEES</v>
          </cell>
          <cell r="E47">
            <v>10129.22220000004</v>
          </cell>
          <cell r="F47">
            <v>0.10136246178688779</v>
          </cell>
          <cell r="G47">
            <v>6395.9589649919999</v>
          </cell>
          <cell r="H47">
            <v>6.1164617715508025E-2</v>
          </cell>
          <cell r="I47">
            <v>3733.2632350080403</v>
          </cell>
          <cell r="J47">
            <v>0.5836909297639169</v>
          </cell>
          <cell r="K47">
            <v>40967.064590000082</v>
          </cell>
          <cell r="L47">
            <v>5115.3000399998236</v>
          </cell>
          <cell r="M47">
            <v>0.98018144014879516</v>
          </cell>
          <cell r="N47">
            <v>78159.550299999813</v>
          </cell>
          <cell r="O47">
            <v>7.540239450557229E-2</v>
          </cell>
          <cell r="P47">
            <v>60660.597734609873</v>
          </cell>
          <cell r="Q47">
            <v>5.431589015110963E-2</v>
          </cell>
          <cell r="R47">
            <v>17498.95256538994</v>
          </cell>
          <cell r="S47">
            <v>0.28847313114103923</v>
          </cell>
          <cell r="U47">
            <v>46082.364629999982</v>
          </cell>
          <cell r="V47">
            <v>0.69608376062189592</v>
          </cell>
        </row>
        <row r="49">
          <cell r="A49" t="str">
            <v>ADD :  MANAGEMENT FEES</v>
          </cell>
          <cell r="E49">
            <v>101.07328000000003</v>
          </cell>
          <cell r="F49">
            <v>1.0114336796437709E-3</v>
          </cell>
          <cell r="G49">
            <v>0</v>
          </cell>
          <cell r="H49">
            <v>0</v>
          </cell>
          <cell r="I49">
            <v>-101.07328000000003</v>
          </cell>
          <cell r="K49">
            <v>0</v>
          </cell>
          <cell r="N49">
            <v>1686.69841</v>
          </cell>
          <cell r="O49">
            <v>1.6271984477211332E-3</v>
          </cell>
          <cell r="P49">
            <v>0</v>
          </cell>
          <cell r="Q49">
            <v>0</v>
          </cell>
          <cell r="R49">
            <v>-1686.69841</v>
          </cell>
          <cell r="U49">
            <v>0</v>
          </cell>
        </row>
        <row r="51">
          <cell r="A51" t="str">
            <v>NET  PROFIT  AFTER  MANAGEMENT FEES</v>
          </cell>
          <cell r="E51">
            <v>10028.14892000004</v>
          </cell>
          <cell r="F51">
            <v>0.10035102810724401</v>
          </cell>
          <cell r="G51">
            <v>6395.9589649919999</v>
          </cell>
          <cell r="H51">
            <v>6.1164617715508025E-2</v>
          </cell>
          <cell r="I51">
            <v>3632.1899550080398</v>
          </cell>
          <cell r="J51">
            <v>0.56788825176782276</v>
          </cell>
          <cell r="K51">
            <v>40967.064590000082</v>
          </cell>
          <cell r="L51">
            <v>5115.3000399998236</v>
          </cell>
          <cell r="M51">
            <v>0.9604224271466949</v>
          </cell>
          <cell r="N51">
            <v>76472.851889999816</v>
          </cell>
          <cell r="O51">
            <v>7.377519605785117E-2</v>
          </cell>
          <cell r="P51">
            <v>60660.597734609873</v>
          </cell>
          <cell r="Q51">
            <v>5.431589015110963E-2</v>
          </cell>
          <cell r="R51">
            <v>15812.254155389943</v>
          </cell>
          <cell r="S51">
            <v>0.2606676285085181</v>
          </cell>
          <cell r="U51">
            <v>46082.364629999982</v>
          </cell>
          <cell r="V51">
            <v>0.65948194073824473</v>
          </cell>
        </row>
        <row r="52">
          <cell r="I52">
            <v>0</v>
          </cell>
          <cell r="R52">
            <v>0</v>
          </cell>
        </row>
        <row r="55">
          <cell r="A55" t="str">
            <v>NET  PROFIT  BEFORE  TAXES</v>
          </cell>
          <cell r="E55">
            <v>10028.14892000004</v>
          </cell>
          <cell r="F55">
            <v>0.10035102810724401</v>
          </cell>
          <cell r="G55">
            <v>6395.9589649919999</v>
          </cell>
          <cell r="H55">
            <v>6.1164617715508025E-2</v>
          </cell>
          <cell r="I55">
            <v>3632.1899550080398</v>
          </cell>
          <cell r="J55">
            <v>0.56788825176782276</v>
          </cell>
          <cell r="K55">
            <v>40967.064590000082</v>
          </cell>
          <cell r="L55">
            <v>5115.3000399998236</v>
          </cell>
          <cell r="M55">
            <v>0.9604224271466949</v>
          </cell>
          <cell r="N55">
            <v>76472.851889999816</v>
          </cell>
          <cell r="O55">
            <v>7.377519605785117E-2</v>
          </cell>
          <cell r="P55">
            <v>60660.597734609873</v>
          </cell>
          <cell r="Q55">
            <v>5.431589015110963E-2</v>
          </cell>
          <cell r="R55">
            <v>15812.254155389943</v>
          </cell>
          <cell r="S55">
            <v>0.2606676285085181</v>
          </cell>
          <cell r="U55">
            <v>46082.364629999982</v>
          </cell>
          <cell r="V55">
            <v>0.65948194073824473</v>
          </cell>
        </row>
        <row r="56">
          <cell r="G56">
            <v>0</v>
          </cell>
          <cell r="L56">
            <v>5115.3000399998236</v>
          </cell>
          <cell r="P56">
            <v>-2.5465851649641991E-10</v>
          </cell>
          <cell r="U56">
            <v>0</v>
          </cell>
        </row>
        <row r="58">
          <cell r="A58" t="str">
            <v>RATIOS</v>
          </cell>
        </row>
        <row r="60">
          <cell r="A60" t="str">
            <v>GROSS  PROFIT  /SALES Excluding Excg Var</v>
          </cell>
          <cell r="E60">
            <v>0.21015559970984624</v>
          </cell>
          <cell r="I60">
            <v>1.0592558141164943E-2</v>
          </cell>
          <cell r="N60">
            <v>0.21050309123496669</v>
          </cell>
        </row>
        <row r="61">
          <cell r="A61" t="str">
            <v>GROSS  PROFIT  /SALES</v>
          </cell>
          <cell r="E61">
            <v>0.21406546087394496</v>
          </cell>
          <cell r="G61">
            <v>0.19956304156868129</v>
          </cell>
          <cell r="I61">
            <v>1.4502419305263664E-2</v>
          </cell>
          <cell r="K61">
            <v>0.2114</v>
          </cell>
          <cell r="L61">
            <v>0.21487638270816034</v>
          </cell>
          <cell r="N61">
            <v>0.21282106090688666</v>
          </cell>
          <cell r="P61">
            <v>0.1996877637213535</v>
          </cell>
          <cell r="R61">
            <v>1.313329718553316E-2</v>
          </cell>
          <cell r="U61">
            <v>0.21170099616089463</v>
          </cell>
        </row>
        <row r="62">
          <cell r="A62" t="str">
            <v xml:space="preserve">NET  PROFIT/SALES  </v>
          </cell>
          <cell r="E62">
            <v>0.10035102810724401</v>
          </cell>
          <cell r="G62">
            <v>6.1164617715508025E-2</v>
          </cell>
          <cell r="K62">
            <v>4.9599999999999998E-2</v>
          </cell>
          <cell r="L62">
            <v>6.3924158266788017E-2</v>
          </cell>
          <cell r="N62">
            <v>7.377519605785117E-2</v>
          </cell>
          <cell r="P62">
            <v>5.431589015110963E-2</v>
          </cell>
          <cell r="U62">
            <v>5.089057735677404E-2</v>
          </cell>
        </row>
        <row r="63">
          <cell r="A63" t="str">
            <v>OVERHEADS/SALES</v>
          </cell>
          <cell r="E63">
            <v>0.1262157201715931</v>
          </cell>
          <cell r="G63">
            <v>0.12565145824893728</v>
          </cell>
          <cell r="K63">
            <v>0.14460000000000001</v>
          </cell>
          <cell r="L63">
            <v>0.13532406912751133</v>
          </cell>
          <cell r="N63">
            <v>0.13509481941391602</v>
          </cell>
          <cell r="P63">
            <v>0.13178883940654665</v>
          </cell>
          <cell r="U63">
            <v>0.1437409411098346</v>
          </cell>
        </row>
        <row r="64">
          <cell r="A64" t="str">
            <v>FINANCE  CHGS/G.P.</v>
          </cell>
          <cell r="E64">
            <v>3.484478242056812E-2</v>
          </cell>
          <cell r="G64">
            <v>8.1581682340288772E-2</v>
          </cell>
          <cell r="K64">
            <v>0.14080000000000001</v>
          </cell>
          <cell r="L64">
            <v>0.1317737257907898</v>
          </cell>
          <cell r="N64">
            <v>7.465133397960412E-2</v>
          </cell>
          <cell r="P64">
            <v>9.9029806602473416E-2</v>
          </cell>
          <cell r="U64">
            <v>0.14002489218019437</v>
          </cell>
        </row>
        <row r="65">
          <cell r="G65">
            <v>6395.9589649920035</v>
          </cell>
          <cell r="L65">
            <v>5115.3000399998236</v>
          </cell>
          <cell r="P65">
            <v>60660.597734610128</v>
          </cell>
          <cell r="U65">
            <v>46082.364629999996</v>
          </cell>
        </row>
        <row r="66">
          <cell r="P66">
            <v>2.5465851649641991E-10</v>
          </cell>
        </row>
        <row r="67">
          <cell r="A67" t="str">
            <v>B.E.P</v>
          </cell>
          <cell r="E67">
            <v>62930.307603115347</v>
          </cell>
          <cell r="G67">
            <v>74411.65131407656</v>
          </cell>
          <cell r="N67">
            <v>67330.647807007772</v>
          </cell>
          <cell r="P67">
            <v>77501.260888265737</v>
          </cell>
          <cell r="U67">
            <v>67782.193380090393</v>
          </cell>
        </row>
        <row r="68">
          <cell r="A68" t="str">
            <v>Export sales (State Trading - Maldives)</v>
          </cell>
          <cell r="E68">
            <v>0</v>
          </cell>
          <cell r="N68">
            <v>3620.8540499999999</v>
          </cell>
          <cell r="U68">
            <v>0</v>
          </cell>
        </row>
      </sheetData>
      <sheetData sheetId="6" refreshError="1"/>
      <sheetData sheetId="7" refreshError="1"/>
      <sheetData sheetId="8" refreshError="1">
        <row r="12">
          <cell r="B12" t="str">
            <v>Hemas Pharmaceuticals (Pte) Ltd</v>
          </cell>
        </row>
        <row r="13">
          <cell r="B13" t="str">
            <v>FREE CASHFLOW STATEMENT</v>
          </cell>
          <cell r="E13" t="str">
            <v xml:space="preserve">Actual CUM </v>
          </cell>
          <cell r="F13" t="str">
            <v>Budget CUM</v>
          </cell>
          <cell r="G13" t="str">
            <v xml:space="preserve">Budget </v>
          </cell>
        </row>
        <row r="14">
          <cell r="B14">
            <v>37680</v>
          </cell>
          <cell r="E14" t="str">
            <v>RS mn</v>
          </cell>
          <cell r="F14" t="str">
            <v>RS mn</v>
          </cell>
          <cell r="G14" t="str">
            <v>2002/2003</v>
          </cell>
        </row>
        <row r="15">
          <cell r="G15" t="str">
            <v>RS mn</v>
          </cell>
        </row>
        <row r="17">
          <cell r="B17" t="str">
            <v>NET PROFIT FOR THE YEAR</v>
          </cell>
          <cell r="E17">
            <v>76472.851889999816</v>
          </cell>
          <cell r="F17">
            <v>60660.597734609873</v>
          </cell>
          <cell r="G17">
            <v>73997.848000477316</v>
          </cell>
        </row>
        <row r="18">
          <cell r="B18" t="str">
            <v xml:space="preserve">ADD: </v>
          </cell>
        </row>
        <row r="19">
          <cell r="B19" t="str">
            <v>DEPRECIATION</v>
          </cell>
          <cell r="E19">
            <v>3469.1323700000003</v>
          </cell>
          <cell r="F19">
            <v>3275.8287099999989</v>
          </cell>
          <cell r="G19">
            <v>3573.6313199999986</v>
          </cell>
        </row>
        <row r="20">
          <cell r="B20" t="str">
            <v>OTHER NON-CASH PROVISIONS</v>
          </cell>
          <cell r="E20">
            <v>1712.203169999998</v>
          </cell>
          <cell r="F20">
            <v>247.83123000000009</v>
          </cell>
          <cell r="G20">
            <v>3084.0967330507424</v>
          </cell>
        </row>
        <row r="21">
          <cell r="E21">
            <v>5181.3355399999982</v>
          </cell>
          <cell r="F21">
            <v>3523.6599399999991</v>
          </cell>
          <cell r="G21">
            <v>6657.7280530507414</v>
          </cell>
        </row>
        <row r="22">
          <cell r="B22" t="str">
            <v xml:space="preserve">LESS: </v>
          </cell>
        </row>
        <row r="23">
          <cell r="B23" t="str">
            <v>FIXED ASSETS</v>
          </cell>
          <cell r="E23">
            <v>3309.6016699999991</v>
          </cell>
          <cell r="F23">
            <v>11348.982539999999</v>
          </cell>
          <cell r="G23">
            <v>11423.482539999999</v>
          </cell>
        </row>
        <row r="24">
          <cell r="B24" t="str">
            <v>LOAN INSTALMENTS</v>
          </cell>
          <cell r="E24">
            <v>1097.4970000000001</v>
          </cell>
          <cell r="F24">
            <v>18590.780445780823</v>
          </cell>
          <cell r="G24">
            <v>20377.281870000003</v>
          </cell>
        </row>
        <row r="25">
          <cell r="B25" t="str">
            <v>TAX</v>
          </cell>
          <cell r="E25">
            <v>19680.71298</v>
          </cell>
          <cell r="F25">
            <v>13278.589972037376</v>
          </cell>
          <cell r="G25">
            <v>14554.610630010939</v>
          </cell>
        </row>
        <row r="26">
          <cell r="E26">
            <v>24087.81165</v>
          </cell>
          <cell r="F26">
            <v>43218.352957818199</v>
          </cell>
          <cell r="G26">
            <v>46355.375040010942</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-39186.333240000364</v>
          </cell>
          <cell r="F32">
            <v>29860.214705855375</v>
          </cell>
          <cell r="G32">
            <v>32729.664767679318</v>
          </cell>
        </row>
        <row r="33">
          <cell r="B33" t="str">
            <v>(excluding returns to Holdings)</v>
          </cell>
        </row>
        <row r="35">
          <cell r="B35" t="str">
            <v>FCF before Treasury repayment and Holding return</v>
          </cell>
          <cell r="E35">
            <v>18380.042539999449</v>
          </cell>
          <cell r="F35">
            <v>50826.119422647047</v>
          </cell>
          <cell r="G35">
            <v>67029.865781196437</v>
          </cell>
        </row>
        <row r="37">
          <cell r="B37" t="str">
            <v>LESS        TREASURY</v>
          </cell>
        </row>
        <row r="38">
          <cell r="B38" t="str">
            <v>RECEIPTS</v>
          </cell>
        </row>
        <row r="39">
          <cell r="B39" t="str">
            <v>RE-PAYMENTS</v>
          </cell>
        </row>
        <row r="41">
          <cell r="B41" t="str">
            <v>FCF after Treasury payt before Holding return</v>
          </cell>
          <cell r="E41">
            <v>18380.042539999449</v>
          </cell>
          <cell r="F41">
            <v>50826.119422647047</v>
          </cell>
          <cell r="G41">
            <v>67029.865781196437</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76472851.889999837</v>
          </cell>
        </row>
        <row r="13">
          <cell r="B13" t="str">
            <v>PYA</v>
          </cell>
          <cell r="D13">
            <v>0</v>
          </cell>
        </row>
        <row r="14">
          <cell r="B14" t="str">
            <v>Adjustments for :</v>
          </cell>
          <cell r="D14">
            <v>76472851.889999837</v>
          </cell>
        </row>
        <row r="15">
          <cell r="B15" t="str">
            <v xml:space="preserve">       Depreciation</v>
          </cell>
          <cell r="C15">
            <v>3469132.37</v>
          </cell>
        </row>
        <row r="16">
          <cell r="B16" t="str">
            <v xml:space="preserve">       Gratuity</v>
          </cell>
          <cell r="C16">
            <v>2625759.58</v>
          </cell>
        </row>
        <row r="17">
          <cell r="B17" t="str">
            <v xml:space="preserve">       Hiring Expense</v>
          </cell>
        </row>
        <row r="18">
          <cell r="B18" t="str">
            <v xml:space="preserve">       Profit On Disposals</v>
          </cell>
          <cell r="C18">
            <v>-2168560.9200000018</v>
          </cell>
        </row>
        <row r="19">
          <cell r="B19" t="str">
            <v xml:space="preserve">       Interest expense</v>
          </cell>
          <cell r="C19">
            <v>16468312.17</v>
          </cell>
        </row>
        <row r="21">
          <cell r="D21">
            <v>20394643.199999999</v>
          </cell>
        </row>
        <row r="23">
          <cell r="B23" t="str">
            <v>Operating Profit before working capital changes</v>
          </cell>
          <cell r="D23">
            <v>96867495.08999984</v>
          </cell>
        </row>
        <row r="25">
          <cell r="B25" t="str">
            <v>Changes in Working Capital (Increase in assets - decrease +)</v>
          </cell>
        </row>
        <row r="26">
          <cell r="B26" t="str">
            <v xml:space="preserve">     Stocks</v>
          </cell>
          <cell r="C26">
            <v>-131132354.40999997</v>
          </cell>
        </row>
        <row r="27">
          <cell r="B27" t="str">
            <v xml:space="preserve">     Trade Debtors</v>
          </cell>
          <cell r="C27">
            <v>-52391991.890000015</v>
          </cell>
        </row>
        <row r="28">
          <cell r="B28" t="str">
            <v xml:space="preserve">     Other Debtors</v>
          </cell>
          <cell r="C28">
            <v>9761000.3599999994</v>
          </cell>
        </row>
        <row r="29">
          <cell r="B29" t="str">
            <v xml:space="preserve">     Related Companies</v>
          </cell>
          <cell r="C29">
            <v>17660814.699999999</v>
          </cell>
        </row>
        <row r="30">
          <cell r="B30" t="str">
            <v xml:space="preserve">     Advances &amp; Prepayments</v>
          </cell>
          <cell r="C30">
            <v>-2467139.1199999992</v>
          </cell>
        </row>
        <row r="31">
          <cell r="B31" t="str">
            <v xml:space="preserve">     Foreign Receivables</v>
          </cell>
          <cell r="C31">
            <v>-8009034.0099999905</v>
          </cell>
        </row>
        <row r="32">
          <cell r="B32" t="str">
            <v xml:space="preserve">     Trade Creditors</v>
          </cell>
          <cell r="C32">
            <v>39175020.789999992</v>
          </cell>
        </row>
        <row r="33">
          <cell r="B33" t="str">
            <v xml:space="preserve">     Other Creditors</v>
          </cell>
          <cell r="C33">
            <v>8751345.8899995983</v>
          </cell>
        </row>
        <row r="34">
          <cell r="B34" t="str">
            <v xml:space="preserve">     TR Loans</v>
          </cell>
          <cell r="C34">
            <v>-14059798.799999997</v>
          </cell>
        </row>
        <row r="35">
          <cell r="B35" t="str">
            <v xml:space="preserve">     Bank OD</v>
          </cell>
        </row>
        <row r="36">
          <cell r="B36" t="str">
            <v xml:space="preserve">     Related Companies</v>
          </cell>
          <cell r="C36">
            <v>71270595.760000005</v>
          </cell>
        </row>
        <row r="37">
          <cell r="B37" t="str">
            <v xml:space="preserve">     Accruals  &amp; Others</v>
          </cell>
          <cell r="C37">
            <v>21411133.490000002</v>
          </cell>
        </row>
        <row r="38">
          <cell r="B38" t="str">
            <v xml:space="preserve">     Short term Loans</v>
          </cell>
        </row>
        <row r="39">
          <cell r="B39" t="str">
            <v xml:space="preserve">     Others</v>
          </cell>
          <cell r="C39">
            <v>844074</v>
          </cell>
          <cell r="D39">
            <v>-39186333.240000404</v>
          </cell>
        </row>
        <row r="41">
          <cell r="B41" t="str">
            <v>Cash Generated from operations</v>
          </cell>
          <cell r="D41">
            <v>57681161.849999435</v>
          </cell>
        </row>
        <row r="43">
          <cell r="B43" t="str">
            <v>Interest Paid</v>
          </cell>
          <cell r="D43">
            <v>-16468312.17</v>
          </cell>
        </row>
        <row r="44">
          <cell r="B44" t="str">
            <v>Hiring paid</v>
          </cell>
        </row>
        <row r="45">
          <cell r="B45" t="str">
            <v>Income tax paid</v>
          </cell>
          <cell r="D45">
            <v>-19680712.98</v>
          </cell>
        </row>
        <row r="46">
          <cell r="B46" t="str">
            <v>Gratuity paid</v>
          </cell>
          <cell r="D46">
            <v>-1415095.4900000002</v>
          </cell>
        </row>
        <row r="50">
          <cell r="B50" t="str">
            <v>Net  cash from Operating Activities</v>
          </cell>
          <cell r="D50">
            <v>20117041.209999435</v>
          </cell>
        </row>
        <row r="53">
          <cell r="B53" t="str">
            <v>Cash flows from investing activities</v>
          </cell>
        </row>
        <row r="55">
          <cell r="B55" t="str">
            <v>Acquisition of Fixed Assets</v>
          </cell>
          <cell r="C55">
            <v>-3309601.669999999</v>
          </cell>
        </row>
        <row r="56">
          <cell r="B56" t="str">
            <v>Proceeds from sales of Fixed Assets</v>
          </cell>
          <cell r="C56">
            <v>2670100</v>
          </cell>
        </row>
        <row r="57">
          <cell r="B57" t="str">
            <v>Dividend received</v>
          </cell>
          <cell r="C57">
            <v>0</v>
          </cell>
        </row>
        <row r="59">
          <cell r="B59" t="str">
            <v>Net cash used in Investing activiyies</v>
          </cell>
          <cell r="D59">
            <v>-639501.66999999899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 xml:space="preserve">Venture Capital Fund </v>
          </cell>
          <cell r="C67">
            <v>-24489117.190000001</v>
          </cell>
        </row>
        <row r="68">
          <cell r="B68" t="str">
            <v>Net increase in Cash and cash equivalents</v>
          </cell>
          <cell r="D68">
            <v>-25586614.190000001</v>
          </cell>
        </row>
        <row r="69">
          <cell r="D69">
            <v>-6109074.6500005648</v>
          </cell>
        </row>
        <row r="71">
          <cell r="B71" t="str">
            <v>Cash and cash equivelents at the begining of period</v>
          </cell>
          <cell r="D71">
            <v>-15512678.220000075</v>
          </cell>
        </row>
        <row r="73">
          <cell r="B73" t="str">
            <v>Cash and cash equivelents at the end of period</v>
          </cell>
          <cell r="D73">
            <v>-21621752.870000638</v>
          </cell>
        </row>
        <row r="76">
          <cell r="B76" t="str">
            <v>MADE UP OF</v>
          </cell>
        </row>
        <row r="77">
          <cell r="B77" t="str">
            <v>BANK OVERDRAFT</v>
          </cell>
          <cell r="D77">
            <v>-21873754.850000117</v>
          </cell>
        </row>
        <row r="78">
          <cell r="B78" t="str">
            <v>INTER COMPANY LOAN</v>
          </cell>
          <cell r="D78">
            <v>0</v>
          </cell>
        </row>
        <row r="79">
          <cell r="B79" t="str">
            <v>CASH IN HAND AND TEMPORARY LOAN</v>
          </cell>
          <cell r="D79">
            <v>252000</v>
          </cell>
        </row>
        <row r="80">
          <cell r="B80" t="str">
            <v>INCOMPLETE SESSION</v>
          </cell>
        </row>
        <row r="81">
          <cell r="D81">
            <v>-21621754.850000117</v>
          </cell>
        </row>
        <row r="82">
          <cell r="D82">
            <v>-1.9799994789063931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Article"/>
      <sheetName val="Rate_Jan"/>
      <sheetName val="Stats"/>
      <sheetName val="BLProf"/>
      <sheetName val="PCOST-USD"/>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Date_Setup2"/>
      <sheetName val="BUD-D_XLS2"/>
      <sheetName val="ps"/>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TB"/>
      <sheetName val="Non-Statistical Sampling Master"/>
      <sheetName val="Customize Your Invoice"/>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9.30 Corp 2 Balance Sheet"/>
      <sheetName val="Setup"/>
      <sheetName val="OTHER_INFORMATION"/>
      <sheetName val="rentpd"/>
      <sheetName val="cap&amp;dep"/>
      <sheetName val="Currency Codes"/>
      <sheetName val="Scoping"/>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refreshError="1"/>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7022181.6399999997</v>
          </cell>
          <cell r="C7">
            <v>1102980.44</v>
          </cell>
          <cell r="D7">
            <v>0</v>
          </cell>
          <cell r="E7">
            <v>1861459.34</v>
          </cell>
          <cell r="F7">
            <v>49822.53</v>
          </cell>
          <cell r="G7">
            <v>6213880.2199999997</v>
          </cell>
          <cell r="J7">
            <v>0.58397309583523616</v>
          </cell>
          <cell r="K7">
            <v>46717.847666818896</v>
          </cell>
        </row>
        <row r="8">
          <cell r="A8" t="str">
            <v>Adwia</v>
          </cell>
          <cell r="B8">
            <v>39957.9</v>
          </cell>
          <cell r="C8">
            <v>0</v>
          </cell>
          <cell r="D8">
            <v>0</v>
          </cell>
          <cell r="E8">
            <v>423.52</v>
          </cell>
          <cell r="F8">
            <v>0</v>
          </cell>
          <cell r="G8">
            <v>39534.39</v>
          </cell>
          <cell r="J8">
            <v>3.7153950998201897E-3</v>
          </cell>
          <cell r="K8">
            <v>297.2316079856152</v>
          </cell>
        </row>
        <row r="9">
          <cell r="A9" t="str">
            <v>Aegis Ltd.</v>
          </cell>
          <cell r="B9">
            <v>196310.06</v>
          </cell>
          <cell r="C9">
            <v>0</v>
          </cell>
          <cell r="D9">
            <v>0</v>
          </cell>
          <cell r="E9">
            <v>0</v>
          </cell>
          <cell r="F9">
            <v>0</v>
          </cell>
          <cell r="G9">
            <v>196310.06</v>
          </cell>
          <cell r="J9">
            <v>1.8448986691571752E-2</v>
          </cell>
          <cell r="K9">
            <v>1475.9189353257402</v>
          </cell>
        </row>
        <row r="10">
          <cell r="A10" t="str">
            <v>Allergan</v>
          </cell>
          <cell r="B10">
            <v>2040821.71</v>
          </cell>
          <cell r="C10">
            <v>1209893.32</v>
          </cell>
          <cell r="D10">
            <v>40938.47</v>
          </cell>
          <cell r="E10">
            <v>1796818.84</v>
          </cell>
          <cell r="F10">
            <v>5017.49</v>
          </cell>
          <cell r="G10">
            <v>1489817.17</v>
          </cell>
          <cell r="J10">
            <v>0.14001125129402484</v>
          </cell>
          <cell r="K10">
            <v>11200.900103521986</v>
          </cell>
        </row>
        <row r="11">
          <cell r="A11" t="str">
            <v>AMO Asia Ltd.</v>
          </cell>
          <cell r="B11">
            <v>4636738.1399999997</v>
          </cell>
          <cell r="C11">
            <v>0</v>
          </cell>
          <cell r="D11">
            <v>0</v>
          </cell>
          <cell r="E11">
            <v>1153839.8899999999</v>
          </cell>
          <cell r="F11">
            <v>71420.77</v>
          </cell>
          <cell r="G11">
            <v>3411477.49</v>
          </cell>
          <cell r="J11">
            <v>0.320606609827365</v>
          </cell>
          <cell r="K11">
            <v>25648.528786189199</v>
          </cell>
        </row>
        <row r="12">
          <cell r="A12" t="str">
            <v>Apex Marketing &amp; Technica</v>
          </cell>
          <cell r="B12">
            <v>153622</v>
          </cell>
          <cell r="C12">
            <v>488333.72</v>
          </cell>
          <cell r="D12">
            <v>0</v>
          </cell>
          <cell r="E12">
            <v>24803.21</v>
          </cell>
          <cell r="F12">
            <v>0</v>
          </cell>
          <cell r="G12">
            <v>617152.52</v>
          </cell>
          <cell r="J12">
            <v>5.7999262127218391E-2</v>
          </cell>
          <cell r="K12">
            <v>4639.9409701774712</v>
          </cell>
        </row>
        <row r="13">
          <cell r="A13" t="str">
            <v>AstraZeneca</v>
          </cell>
          <cell r="B13">
            <v>81679399.519999996</v>
          </cell>
          <cell r="C13">
            <v>928481.25</v>
          </cell>
          <cell r="D13">
            <v>36750</v>
          </cell>
          <cell r="E13">
            <v>12512282.029999999</v>
          </cell>
          <cell r="F13">
            <v>1048114.96</v>
          </cell>
          <cell r="G13">
            <v>69084233.790000007</v>
          </cell>
          <cell r="J13">
            <v>6.4924543846053622</v>
          </cell>
          <cell r="K13">
            <v>519396.35076842899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2388661.2200000002</v>
          </cell>
          <cell r="C16">
            <v>677815.51</v>
          </cell>
          <cell r="D16">
            <v>0</v>
          </cell>
          <cell r="E16">
            <v>77614.210000000006</v>
          </cell>
          <cell r="F16">
            <v>511</v>
          </cell>
          <cell r="G16">
            <v>2988351.52</v>
          </cell>
          <cell r="J16">
            <v>0.28084173282927133</v>
          </cell>
          <cell r="K16">
            <v>22467.338626341705</v>
          </cell>
        </row>
        <row r="17">
          <cell r="A17" t="str">
            <v>Ceva Sante</v>
          </cell>
          <cell r="B17">
            <v>886317.21</v>
          </cell>
          <cell r="C17">
            <v>0</v>
          </cell>
          <cell r="D17">
            <v>0</v>
          </cell>
          <cell r="E17">
            <v>36751.879999999997</v>
          </cell>
          <cell r="F17">
            <v>0</v>
          </cell>
          <cell r="G17">
            <v>849565.33</v>
          </cell>
          <cell r="J17">
            <v>7.9841142459998043E-2</v>
          </cell>
          <cell r="K17">
            <v>6387.2913967998438</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5.4141617874573509E-3</v>
          </cell>
          <cell r="K21">
            <v>433.13294299658804</v>
          </cell>
        </row>
        <row r="22">
          <cell r="A22" t="str">
            <v>Eli Lilly</v>
          </cell>
          <cell r="B22">
            <v>8168697.7699999996</v>
          </cell>
          <cell r="C22">
            <v>7298490.7400000002</v>
          </cell>
          <cell r="D22">
            <v>0</v>
          </cell>
          <cell r="E22">
            <v>4278789.7699999996</v>
          </cell>
          <cell r="F22">
            <v>420877.46</v>
          </cell>
          <cell r="G22">
            <v>10767521.289999999</v>
          </cell>
          <cell r="J22">
            <v>1.0119188847501015</v>
          </cell>
          <cell r="K22">
            <v>80953.510780008117</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0.24039579042350731</v>
          </cell>
          <cell r="K25">
            <v>19231.663233880587</v>
          </cell>
        </row>
        <row r="26">
          <cell r="A26" t="str">
            <v>G R Exports</v>
          </cell>
          <cell r="B26">
            <v>9873739.3000000007</v>
          </cell>
          <cell r="C26">
            <v>8410173.0899999999</v>
          </cell>
          <cell r="D26">
            <v>26413.09</v>
          </cell>
          <cell r="E26">
            <v>6105633.2300000004</v>
          </cell>
          <cell r="F26">
            <v>201528.97</v>
          </cell>
          <cell r="G26">
            <v>12003163.279999999</v>
          </cell>
          <cell r="J26">
            <v>1.1280430539804365</v>
          </cell>
          <cell r="K26">
            <v>90243.444318434922</v>
          </cell>
        </row>
        <row r="27">
          <cell r="A27" t="str">
            <v>Getz Pharma</v>
          </cell>
          <cell r="B27">
            <v>3842460.66</v>
          </cell>
          <cell r="C27">
            <v>0</v>
          </cell>
          <cell r="D27">
            <v>0</v>
          </cell>
          <cell r="E27">
            <v>893641.55</v>
          </cell>
          <cell r="F27">
            <v>2364.44</v>
          </cell>
          <cell r="G27">
            <v>2946454.67</v>
          </cell>
          <cell r="J27">
            <v>0.27690431653960801</v>
          </cell>
          <cell r="K27">
            <v>22152.34532316864</v>
          </cell>
        </row>
        <row r="28">
          <cell r="A28" t="str">
            <v>Goldshield</v>
          </cell>
          <cell r="B28">
            <v>0</v>
          </cell>
          <cell r="C28">
            <v>1607137.84</v>
          </cell>
          <cell r="D28">
            <v>0</v>
          </cell>
          <cell r="E28">
            <v>245.14</v>
          </cell>
          <cell r="F28">
            <v>0</v>
          </cell>
          <cell r="G28">
            <v>1606892.7</v>
          </cell>
          <cell r="J28">
            <v>0.15101387079747111</v>
          </cell>
          <cell r="K28">
            <v>12081.10966379769</v>
          </cell>
        </row>
        <row r="29">
          <cell r="A29" t="str">
            <v>Grafton Pharmacia</v>
          </cell>
          <cell r="B29">
            <v>274216.05</v>
          </cell>
          <cell r="C29">
            <v>0</v>
          </cell>
          <cell r="D29">
            <v>0</v>
          </cell>
          <cell r="E29">
            <v>9850.9500000000007</v>
          </cell>
          <cell r="F29">
            <v>0</v>
          </cell>
          <cell r="G29">
            <v>264365.09999999998</v>
          </cell>
          <cell r="J29">
            <v>2.4844718664015667E-2</v>
          </cell>
          <cell r="K29">
            <v>1987.5774931212534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3.6895913367532085E-3</v>
          </cell>
          <cell r="K31">
            <v>295.16730694025671</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2.790152996814383E-2</v>
          </cell>
          <cell r="K33">
            <v>2232.1223974515065</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2.766726803772647E-2</v>
          </cell>
          <cell r="K35">
            <v>2213.3814430181174</v>
          </cell>
        </row>
        <row r="36">
          <cell r="A36" t="str">
            <v>Kalbe Pharma</v>
          </cell>
          <cell r="B36">
            <v>22069699.539999999</v>
          </cell>
          <cell r="C36">
            <v>7987948.4900000002</v>
          </cell>
          <cell r="D36">
            <v>423395.43</v>
          </cell>
          <cell r="E36">
            <v>8193762.4000000004</v>
          </cell>
          <cell r="F36">
            <v>290076.37</v>
          </cell>
          <cell r="G36">
            <v>21997204.690000001</v>
          </cell>
          <cell r="J36">
            <v>2.0672712166538472</v>
          </cell>
          <cell r="K36">
            <v>165381.69733230778</v>
          </cell>
        </row>
        <row r="37">
          <cell r="A37" t="str">
            <v>Leo</v>
          </cell>
          <cell r="B37">
            <v>30615244.649999999</v>
          </cell>
          <cell r="C37">
            <v>14366506.24</v>
          </cell>
          <cell r="D37">
            <v>7328.7</v>
          </cell>
          <cell r="E37">
            <v>3778840.75</v>
          </cell>
          <cell r="F37">
            <v>183833.8</v>
          </cell>
          <cell r="G37">
            <v>41026405.039999999</v>
          </cell>
          <cell r="J37">
            <v>3.855612904330997</v>
          </cell>
          <cell r="K37">
            <v>308449.03234647977</v>
          </cell>
        </row>
        <row r="38">
          <cell r="A38" t="str">
            <v>Macter International</v>
          </cell>
          <cell r="B38">
            <v>901314.49</v>
          </cell>
          <cell r="C38">
            <v>0</v>
          </cell>
          <cell r="D38">
            <v>0</v>
          </cell>
          <cell r="E38">
            <v>0</v>
          </cell>
          <cell r="F38">
            <v>327795.08</v>
          </cell>
          <cell r="G38">
            <v>573519.41</v>
          </cell>
          <cell r="J38">
            <v>5.3898674181282837E-2</v>
          </cell>
          <cell r="K38">
            <v>4311.8939345026265</v>
          </cell>
        </row>
        <row r="39">
          <cell r="A39" t="str">
            <v>Mathys</v>
          </cell>
          <cell r="B39">
            <v>3399959.72</v>
          </cell>
          <cell r="C39">
            <v>0</v>
          </cell>
          <cell r="D39">
            <v>0</v>
          </cell>
          <cell r="E39">
            <v>169242.06</v>
          </cell>
          <cell r="F39">
            <v>0</v>
          </cell>
          <cell r="G39">
            <v>3230717.66</v>
          </cell>
          <cell r="J39">
            <v>0.30361901531468044</v>
          </cell>
          <cell r="K39">
            <v>24289.521225174434</v>
          </cell>
        </row>
        <row r="40">
          <cell r="A40" t="str">
            <v>Medela</v>
          </cell>
          <cell r="B40">
            <v>135535.71</v>
          </cell>
          <cell r="C40">
            <v>0</v>
          </cell>
          <cell r="D40">
            <v>0</v>
          </cell>
          <cell r="E40">
            <v>18302.62</v>
          </cell>
          <cell r="F40">
            <v>0</v>
          </cell>
          <cell r="G40">
            <v>117233.1</v>
          </cell>
          <cell r="J40">
            <v>1.1017427745229668E-2</v>
          </cell>
          <cell r="K40">
            <v>881.39421961837343</v>
          </cell>
        </row>
        <row r="41">
          <cell r="A41" t="str">
            <v>Mefar</v>
          </cell>
          <cell r="B41">
            <v>16422.03</v>
          </cell>
          <cell r="C41">
            <v>0</v>
          </cell>
          <cell r="D41">
            <v>0</v>
          </cell>
          <cell r="E41">
            <v>0</v>
          </cell>
          <cell r="F41">
            <v>0</v>
          </cell>
          <cell r="G41">
            <v>16422.03</v>
          </cell>
          <cell r="J41">
            <v>1.5433229092721588E-3</v>
          </cell>
          <cell r="K41">
            <v>123.4658327417727</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1163722.6000000001</v>
          </cell>
          <cell r="D45">
            <v>0</v>
          </cell>
          <cell r="E45">
            <v>951433.6</v>
          </cell>
          <cell r="F45">
            <v>4737.04</v>
          </cell>
          <cell r="G45">
            <v>3963943.86</v>
          </cell>
          <cell r="J45">
            <v>0.37252674427014876</v>
          </cell>
          <cell r="K45">
            <v>29802.139541611901</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9139463.0399999991</v>
          </cell>
          <cell r="J47">
            <v>0.85891590065772427</v>
          </cell>
          <cell r="K47">
            <v>68713.272052617947</v>
          </cell>
        </row>
        <row r="48">
          <cell r="A48" t="str">
            <v>Phoenix</v>
          </cell>
          <cell r="B48">
            <v>337866.15</v>
          </cell>
          <cell r="C48">
            <v>0</v>
          </cell>
          <cell r="D48">
            <v>0</v>
          </cell>
          <cell r="E48">
            <v>0</v>
          </cell>
          <cell r="F48">
            <v>0</v>
          </cell>
          <cell r="G48">
            <v>337866.15</v>
          </cell>
          <cell r="J48">
            <v>3.1752260199414059E-2</v>
          </cell>
          <cell r="K48">
            <v>2540.1808159531247</v>
          </cell>
        </row>
        <row r="49">
          <cell r="A49" t="str">
            <v>Ranbaxy</v>
          </cell>
          <cell r="B49">
            <v>51284081.130000003</v>
          </cell>
          <cell r="C49">
            <v>7338943.3700000001</v>
          </cell>
          <cell r="D49">
            <v>56671.73</v>
          </cell>
          <cell r="E49">
            <v>12386748.949999999</v>
          </cell>
          <cell r="F49">
            <v>1534167.39</v>
          </cell>
          <cell r="G49">
            <v>44758779.890000001</v>
          </cell>
          <cell r="J49">
            <v>4.2063770675919487</v>
          </cell>
          <cell r="K49">
            <v>336510.16540735587</v>
          </cell>
        </row>
        <row r="50">
          <cell r="A50" t="str">
            <v>Ranbaxy - Animal Healthca</v>
          </cell>
          <cell r="B50">
            <v>852687.15</v>
          </cell>
          <cell r="C50">
            <v>1289221.47</v>
          </cell>
          <cell r="D50">
            <v>0</v>
          </cell>
          <cell r="E50">
            <v>121924.55</v>
          </cell>
          <cell r="F50">
            <v>35813.94</v>
          </cell>
          <cell r="G50">
            <v>1984170.14</v>
          </cell>
          <cell r="J50">
            <v>0.18646995730465399</v>
          </cell>
          <cell r="K50">
            <v>14917.596584372319</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322156.78999999998</v>
          </cell>
          <cell r="D52">
            <v>0</v>
          </cell>
          <cell r="E52">
            <v>317231.78999999998</v>
          </cell>
          <cell r="F52">
            <v>0</v>
          </cell>
          <cell r="G52">
            <v>51978.36</v>
          </cell>
          <cell r="J52">
            <v>4.8848646467212408E-3</v>
          </cell>
          <cell r="K52">
            <v>390.78917173769929</v>
          </cell>
        </row>
        <row r="53">
          <cell r="A53" t="str">
            <v>Sakafarma Laboratories</v>
          </cell>
          <cell r="B53">
            <v>96760.7</v>
          </cell>
          <cell r="C53">
            <v>0</v>
          </cell>
          <cell r="D53">
            <v>0</v>
          </cell>
          <cell r="E53">
            <v>3729.77</v>
          </cell>
          <cell r="F53">
            <v>-0.01</v>
          </cell>
          <cell r="G53">
            <v>93030.94</v>
          </cell>
          <cell r="J53">
            <v>8.7429374427597361E-3</v>
          </cell>
          <cell r="K53">
            <v>699.43499542077893</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13323140.880000001</v>
          </cell>
          <cell r="C55">
            <v>6149796.4400000004</v>
          </cell>
          <cell r="D55">
            <v>743877.17</v>
          </cell>
          <cell r="E55">
            <v>3914063.11</v>
          </cell>
          <cell r="F55">
            <v>43865.08</v>
          </cell>
          <cell r="G55">
            <v>16258886.289999999</v>
          </cell>
          <cell r="J55">
            <v>1.527990856831221</v>
          </cell>
          <cell r="K55">
            <v>122239.26854649768</v>
          </cell>
        </row>
        <row r="56">
          <cell r="A56" t="str">
            <v>Sciclone</v>
          </cell>
          <cell r="B56">
            <v>2645907.27</v>
          </cell>
          <cell r="C56">
            <v>0</v>
          </cell>
          <cell r="D56">
            <v>0</v>
          </cell>
          <cell r="E56">
            <v>743717.54</v>
          </cell>
          <cell r="F56">
            <v>-3.3</v>
          </cell>
          <cell r="G56">
            <v>1902193.04</v>
          </cell>
          <cell r="J56">
            <v>0.17876584663954775</v>
          </cell>
          <cell r="K56">
            <v>14301.26773116382</v>
          </cell>
        </row>
        <row r="57">
          <cell r="A57" t="str">
            <v>Servier</v>
          </cell>
          <cell r="B57">
            <v>6244308.9199999999</v>
          </cell>
          <cell r="C57">
            <v>7802343.0499999998</v>
          </cell>
          <cell r="D57">
            <v>0</v>
          </cell>
          <cell r="E57">
            <v>2831871.53</v>
          </cell>
          <cell r="F57">
            <v>12982.67</v>
          </cell>
          <cell r="G57">
            <v>11201797.77</v>
          </cell>
          <cell r="J57">
            <v>1.0527316734578358</v>
          </cell>
          <cell r="K57">
            <v>84218.533876626869</v>
          </cell>
        </row>
        <row r="58">
          <cell r="A58" t="str">
            <v>Seven Seas</v>
          </cell>
          <cell r="B58">
            <v>10739734.630000001</v>
          </cell>
          <cell r="C58">
            <v>0</v>
          </cell>
          <cell r="D58">
            <v>126768.06</v>
          </cell>
          <cell r="E58">
            <v>2558648.9</v>
          </cell>
          <cell r="F58">
            <v>41367.21</v>
          </cell>
          <cell r="G58">
            <v>8266486.5800000001</v>
          </cell>
          <cell r="J58">
            <v>0.77687460795680308</v>
          </cell>
          <cell r="K58">
            <v>62149.968636544247</v>
          </cell>
        </row>
        <row r="59">
          <cell r="A59" t="str">
            <v>Seven Seas Vetinary</v>
          </cell>
          <cell r="B59">
            <v>1917408.03</v>
          </cell>
          <cell r="C59">
            <v>0</v>
          </cell>
          <cell r="D59">
            <v>0</v>
          </cell>
          <cell r="E59">
            <v>345573.13</v>
          </cell>
          <cell r="F59">
            <v>1306.54</v>
          </cell>
          <cell r="G59">
            <v>1570528.36</v>
          </cell>
          <cell r="J59">
            <v>0.147596393238207</v>
          </cell>
          <cell r="K59">
            <v>11807.71145905656</v>
          </cell>
        </row>
        <row r="60">
          <cell r="A60" t="str">
            <v>Shushrut</v>
          </cell>
          <cell r="B60">
            <v>165838.48000000001</v>
          </cell>
          <cell r="C60">
            <v>0</v>
          </cell>
          <cell r="D60">
            <v>0</v>
          </cell>
          <cell r="E60">
            <v>0</v>
          </cell>
          <cell r="F60">
            <v>0</v>
          </cell>
          <cell r="G60">
            <v>165838.48000000001</v>
          </cell>
          <cell r="J60">
            <v>1.5585303730590723E-2</v>
          </cell>
          <cell r="K60">
            <v>1246.8242984472579</v>
          </cell>
        </row>
        <row r="61">
          <cell r="A61" t="str">
            <v>Smith &amp; Nephew</v>
          </cell>
          <cell r="B61">
            <v>3178602.84</v>
          </cell>
          <cell r="C61">
            <v>124317.12</v>
          </cell>
          <cell r="D61">
            <v>14175.07</v>
          </cell>
          <cell r="E61">
            <v>251118.47</v>
          </cell>
          <cell r="F61">
            <v>1205.27</v>
          </cell>
          <cell r="G61">
            <v>3064771.28</v>
          </cell>
          <cell r="J61">
            <v>0.28802357127001704</v>
          </cell>
          <cell r="K61">
            <v>23041.885701601364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1.1301892218505862E-4</v>
          </cell>
          <cell r="K63">
            <v>9.0415137748046899</v>
          </cell>
        </row>
        <row r="64">
          <cell r="A64" t="str">
            <v>Tanabe</v>
          </cell>
          <cell r="B64">
            <v>6076925.8799999999</v>
          </cell>
          <cell r="C64">
            <v>1698927</v>
          </cell>
          <cell r="D64">
            <v>174653.58</v>
          </cell>
          <cell r="E64">
            <v>2947747.19</v>
          </cell>
          <cell r="F64">
            <v>10304.75</v>
          </cell>
          <cell r="G64">
            <v>4992454.51</v>
          </cell>
          <cell r="J64">
            <v>0.46918495574433311</v>
          </cell>
          <cell r="K64">
            <v>37534.796459546647</v>
          </cell>
        </row>
        <row r="65">
          <cell r="A65" t="str">
            <v>Terumo</v>
          </cell>
          <cell r="B65">
            <v>14573597.92</v>
          </cell>
          <cell r="C65">
            <v>3043919.46</v>
          </cell>
          <cell r="D65">
            <v>0</v>
          </cell>
          <cell r="E65">
            <v>2634961.94</v>
          </cell>
          <cell r="F65">
            <v>6737.85</v>
          </cell>
          <cell r="G65">
            <v>14975817.59</v>
          </cell>
          <cell r="J65">
            <v>1.4074095816246817</v>
          </cell>
          <cell r="K65">
            <v>112592.76652997453</v>
          </cell>
        </row>
        <row r="66">
          <cell r="A66" t="str">
            <v>Tyco Healthcare</v>
          </cell>
          <cell r="B66">
            <v>10201021.57</v>
          </cell>
          <cell r="C66">
            <v>0</v>
          </cell>
          <cell r="D66">
            <v>0</v>
          </cell>
          <cell r="E66">
            <v>32057.67</v>
          </cell>
          <cell r="F66">
            <v>0</v>
          </cell>
          <cell r="G66">
            <v>10168963.890000001</v>
          </cell>
          <cell r="J66">
            <v>0.95566716995391743</v>
          </cell>
          <cell r="K66">
            <v>76453.373596313395</v>
          </cell>
        </row>
        <row r="67">
          <cell r="A67" t="str">
            <v>Universal Medicare</v>
          </cell>
          <cell r="B67">
            <v>0</v>
          </cell>
          <cell r="C67">
            <v>0</v>
          </cell>
          <cell r="D67">
            <v>0</v>
          </cell>
          <cell r="E67">
            <v>0</v>
          </cell>
          <cell r="F67">
            <v>0</v>
          </cell>
          <cell r="G67">
            <v>0</v>
          </cell>
          <cell r="J67">
            <v>0</v>
          </cell>
          <cell r="K67">
            <v>0</v>
          </cell>
        </row>
        <row r="68">
          <cell r="A68" t="str">
            <v>USV Ltd</v>
          </cell>
          <cell r="B68">
            <v>12313568.119999999</v>
          </cell>
          <cell r="C68">
            <v>3648674.09</v>
          </cell>
          <cell r="D68">
            <v>4074.74</v>
          </cell>
          <cell r="E68">
            <v>5078161.7699999996</v>
          </cell>
          <cell r="F68">
            <v>247459.12</v>
          </cell>
          <cell r="G68">
            <v>10640696.060000001</v>
          </cell>
          <cell r="J68">
            <v>29.658260319673104</v>
          </cell>
          <cell r="K68">
            <v>2372660.8255738495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335416936.00999999</v>
          </cell>
          <cell r="C72">
            <v>80528528.489999995</v>
          </cell>
          <cell r="D72">
            <v>2274962.9700000002</v>
          </cell>
          <cell r="E72">
            <v>81930613.489999995</v>
          </cell>
          <cell r="F72">
            <v>5172412.76</v>
          </cell>
          <cell r="G72">
            <v>331117401.22000003</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243032940.33000001</v>
          </cell>
          <cell r="C2">
            <v>260559017.72999999</v>
          </cell>
          <cell r="D2">
            <v>15949721.890000001</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37046890.579999998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1244042.3999999999</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25036855.989999998</v>
          </cell>
          <cell r="C31">
            <v>29869478</v>
          </cell>
          <cell r="D31">
            <v>1877685.93</v>
          </cell>
          <cell r="E31">
            <v>2639829.4</v>
          </cell>
        </row>
        <row r="32">
          <cell r="A32" t="str">
            <v>              TKT-SO-HRG 2</v>
          </cell>
          <cell r="C32">
            <v>29869478</v>
          </cell>
          <cell r="E32">
            <v>2639829.4</v>
          </cell>
        </row>
        <row r="33">
          <cell r="A33" t="str">
            <v>              TKT-SO-RAISHMI</v>
          </cell>
          <cell r="B33">
            <v>7954346.7400000002</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25633751.899999999</v>
          </cell>
          <cell r="C37">
            <v>33322944.5</v>
          </cell>
          <cell r="D37">
            <v>2322085.4500000002</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638541.82999999996</v>
          </cell>
        </row>
        <row r="42">
          <cell r="A42" t="str">
            <v>              SO- NIRMAN</v>
          </cell>
          <cell r="B42">
            <v>1179381</v>
          </cell>
          <cell r="D42">
            <v>50668.43</v>
          </cell>
        </row>
        <row r="43">
          <cell r="A43" t="str">
            <v>   Team_Rapthi</v>
          </cell>
          <cell r="B43">
            <v>20142747.539999999</v>
          </cell>
          <cell r="C43">
            <v>31993342.66</v>
          </cell>
          <cell r="D43">
            <v>654419.42000000004</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40814275.170000002</v>
          </cell>
          <cell r="C51">
            <v>41142414.659999996</v>
          </cell>
          <cell r="D51">
            <v>2130741.12</v>
          </cell>
          <cell r="E51">
            <v>1867421.31</v>
          </cell>
        </row>
        <row r="52">
          <cell r="A52" t="str">
            <v>              TKT-SO-AMANDA</v>
          </cell>
          <cell r="B52">
            <v>20618151.600000001</v>
          </cell>
          <cell r="C52">
            <v>41142414.659999996</v>
          </cell>
          <cell r="D52">
            <v>1181598.31</v>
          </cell>
          <cell r="E52">
            <v>1867421.31</v>
          </cell>
        </row>
        <row r="53">
          <cell r="A53" t="str">
            <v>              SO- ERAJNI</v>
          </cell>
          <cell r="B53">
            <v>5075504.75</v>
          </cell>
          <cell r="D53">
            <v>306472.74</v>
          </cell>
        </row>
        <row r="54">
          <cell r="A54" t="str">
            <v>              SO- RAIZA</v>
          </cell>
          <cell r="B54">
            <v>3485522</v>
          </cell>
          <cell r="D54">
            <v>164997.57999999999</v>
          </cell>
        </row>
        <row r="55">
          <cell r="A55" t="str">
            <v>              SO- INDIKA</v>
          </cell>
          <cell r="B55">
            <v>9676396.8200000003</v>
          </cell>
          <cell r="D55">
            <v>331307.34000000003</v>
          </cell>
        </row>
        <row r="56">
          <cell r="A56" t="str">
            <v>              SO- WASSIM</v>
          </cell>
          <cell r="B56">
            <v>1958700</v>
          </cell>
          <cell r="D56">
            <v>146365.15</v>
          </cell>
        </row>
        <row r="57">
          <cell r="A57" t="str">
            <v>   Team Jackie Corporat</v>
          </cell>
          <cell r="B57">
            <v>36388668.899999999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243056940.33000001</v>
          </cell>
          <cell r="C77">
            <v>260559017.72999999</v>
          </cell>
          <cell r="D77">
            <v>15950721.889999997</v>
          </cell>
          <cell r="E77">
            <v>16637681.980000002</v>
          </cell>
        </row>
        <row r="78">
          <cell r="B78">
            <v>24000</v>
          </cell>
          <cell r="C78">
            <v>0</v>
          </cell>
          <cell r="D78">
            <v>999.99999999627471</v>
          </cell>
          <cell r="E78">
            <v>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s>
    <sheetDataSet>
      <sheetData sheetId="0">
        <row r="2">
          <cell r="B2" t="str">
            <v xml:space="preserve">STYLE </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efreshError="1">
        <row r="2">
          <cell r="B2" t="str">
            <v xml:space="preserve">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35268.702116898145</v>
          </cell>
          <cell r="AD4" t="str">
            <v>Run Date:</v>
          </cell>
          <cell r="AE4">
            <v>35268.702116898145</v>
          </cell>
          <cell r="AX4" t="str">
            <v>Run Date:</v>
          </cell>
          <cell r="AY4">
            <v>35268.702116898145</v>
          </cell>
          <cell r="BH4" t="str">
            <v>Run Date:</v>
          </cell>
          <cell r="BI4">
            <v>35268.702116898145</v>
          </cell>
          <cell r="BR4" t="str">
            <v>Run Date:</v>
          </cell>
          <cell r="BS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707.43843906719894</v>
          </cell>
          <cell r="O48">
            <v>-1414.8768781343979</v>
          </cell>
          <cell r="S48">
            <v>707.43843906719894</v>
          </cell>
          <cell r="W48">
            <v>713.54150038976718</v>
          </cell>
          <cell r="Y48">
            <v>-1427.0830007795344</v>
          </cell>
          <cell r="AC48">
            <v>713.54150038976718</v>
          </cell>
          <cell r="AP48">
            <v>0</v>
          </cell>
          <cell r="AQ48">
            <v>1438.4439484919526</v>
          </cell>
          <cell r="AS48">
            <v>-1438.4439484919526</v>
          </cell>
          <cell r="AZ48">
            <v>0</v>
          </cell>
          <cell r="BA48">
            <v>1454.5179777114836</v>
          </cell>
          <cell r="BC48">
            <v>-1454.5179777114836</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ow r="3">
          <cell r="K3" t="str">
            <v>FOR THE MONTH ENDED JANUARY 1995</v>
          </cell>
        </row>
      </sheetData>
      <sheetData sheetId="111"/>
      <sheetData sheetId="112"/>
      <sheetData sheetId="113"/>
      <sheetData sheetId="114">
        <row r="3">
          <cell r="K3" t="str">
            <v>FOR THE MONTH ENDED JANUARY 1995</v>
          </cell>
        </row>
      </sheetData>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PO.Detail"/>
      <sheetName val="Base Data"/>
      <sheetName val="갑지(추정)"/>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35268.702116898145</v>
          </cell>
          <cell r="AX4" t="str">
            <v>Run Date:</v>
          </cell>
          <cell r="AY4">
            <v>35268.702116898145</v>
          </cell>
          <cell r="CV4" t="str">
            <v>Run Date:</v>
          </cell>
          <cell r="CW4">
            <v>35268.702116898145</v>
          </cell>
          <cell r="DF4" t="str">
            <v>Run Date:</v>
          </cell>
          <cell r="DG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713.54150038976718</v>
          </cell>
          <cell r="Y48">
            <v>-1427.0830007795344</v>
          </cell>
          <cell r="AC48">
            <v>713.54150038976718</v>
          </cell>
          <cell r="AP48">
            <v>0</v>
          </cell>
          <cell r="AQ48">
            <v>1438.4439484919526</v>
          </cell>
          <cell r="AS48">
            <v>-1438.4439484919526</v>
          </cell>
          <cell r="CO48">
            <v>0</v>
          </cell>
          <cell r="CQ48">
            <v>0</v>
          </cell>
          <cell r="CU48">
            <v>0</v>
          </cell>
          <cell r="CY48">
            <v>0</v>
          </cell>
          <cell r="DA48">
            <v>0</v>
          </cell>
          <cell r="DE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2657352.2799999998</v>
          </cell>
          <cell r="D8">
            <v>1822151.19</v>
          </cell>
          <cell r="E8">
            <v>1917973.38</v>
          </cell>
          <cell r="F8">
            <v>1579674.77</v>
          </cell>
          <cell r="G8">
            <v>0</v>
          </cell>
          <cell r="H8">
            <v>7977151.6199999992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1098483.4099999999</v>
          </cell>
          <cell r="F11">
            <v>0</v>
          </cell>
          <cell r="G11">
            <v>111066.33</v>
          </cell>
          <cell r="H11">
            <v>5577636.25</v>
          </cell>
        </row>
        <row r="12">
          <cell r="A12" t="str">
            <v>DB006</v>
          </cell>
          <cell r="B12" t="str">
            <v>Vijitha Pharmacy</v>
          </cell>
          <cell r="C12">
            <v>3002306.72</v>
          </cell>
          <cell r="D12">
            <v>2633342.56</v>
          </cell>
          <cell r="E12">
            <v>544439.68999999994</v>
          </cell>
          <cell r="F12">
            <v>810090.25</v>
          </cell>
          <cell r="G12">
            <v>0</v>
          </cell>
          <cell r="H12">
            <v>6990179.2200000007</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10470063.029999999</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43869.599999999999</v>
          </cell>
          <cell r="H20">
            <v>43869.599999999999</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1287034.3600000001</v>
          </cell>
          <cell r="F22">
            <v>0</v>
          </cell>
          <cell r="G22">
            <v>16114.13</v>
          </cell>
          <cell r="H22">
            <v>6912584.1799999997</v>
          </cell>
        </row>
        <row r="23">
          <cell r="A23" t="str">
            <v>DB017</v>
          </cell>
          <cell r="B23" t="str">
            <v>Mawarani Distributors,</v>
          </cell>
          <cell r="C23">
            <v>2358185.2799999998</v>
          </cell>
          <cell r="D23">
            <v>2972013.17</v>
          </cell>
          <cell r="E23">
            <v>1542009.68</v>
          </cell>
          <cell r="F23">
            <v>0</v>
          </cell>
          <cell r="G23">
            <v>0</v>
          </cell>
          <cell r="H23">
            <v>6872208.129999999</v>
          </cell>
        </row>
        <row r="24">
          <cell r="A24" t="str">
            <v>DB018</v>
          </cell>
          <cell r="B24" t="str">
            <v>S &amp; D Agencies,</v>
          </cell>
          <cell r="C24">
            <v>2371181.98</v>
          </cell>
          <cell r="D24">
            <v>2466246.04</v>
          </cell>
          <cell r="E24">
            <v>799077.16</v>
          </cell>
          <cell r="F24">
            <v>0</v>
          </cell>
          <cell r="G24">
            <v>0</v>
          </cell>
          <cell r="H24">
            <v>5636505.1799999997</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4521867.8899999997</v>
          </cell>
        </row>
        <row r="27">
          <cell r="H27">
            <v>0</v>
          </cell>
        </row>
        <row r="28">
          <cell r="H28">
            <v>0</v>
          </cell>
        </row>
        <row r="29">
          <cell r="H29">
            <v>0</v>
          </cell>
        </row>
        <row r="30">
          <cell r="H30">
            <v>0</v>
          </cell>
        </row>
        <row r="50">
          <cell r="A50" t="str">
            <v>Total</v>
          </cell>
          <cell r="C50">
            <v>27470364.130000003</v>
          </cell>
          <cell r="D50">
            <v>24988706.049999997</v>
          </cell>
          <cell r="E50">
            <v>14383285.900000002</v>
          </cell>
          <cell r="F50">
            <v>2625913.7599999998</v>
          </cell>
          <cell r="G50">
            <v>1012807.52</v>
          </cell>
          <cell r="H50">
            <v>70481077.359999999</v>
          </cell>
        </row>
      </sheetData>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3.3158732597970677</v>
          </cell>
          <cell r="F6">
            <v>5.682933671995154</v>
          </cell>
          <cell r="G6">
            <v>8.9988069317922221</v>
          </cell>
          <cell r="H6">
            <v>2.1677413679305393</v>
          </cell>
          <cell r="I6">
            <v>1.446713287671233</v>
          </cell>
          <cell r="J6">
            <v>0.55990432876712326</v>
          </cell>
          <cell r="K6">
            <v>0</v>
          </cell>
          <cell r="L6">
            <v>2.0066176164383567</v>
          </cell>
          <cell r="M6">
            <v>9.6019219749045899</v>
          </cell>
          <cell r="N6">
            <v>0.26738485087039454</v>
          </cell>
          <cell r="O6">
            <v>9.8693068257749861</v>
          </cell>
          <cell r="P6">
            <v>3.2883044417808223</v>
          </cell>
          <cell r="Q6">
            <v>0</v>
          </cell>
          <cell r="R6">
            <v>0.21896341816698811</v>
          </cell>
          <cell r="S6">
            <v>0</v>
          </cell>
          <cell r="T6">
            <v>0.21896341816698811</v>
          </cell>
          <cell r="U6">
            <v>0.23827040406544286</v>
          </cell>
          <cell r="V6">
            <v>26.788011005949357</v>
          </cell>
        </row>
        <row r="7">
          <cell r="D7" t="str">
            <v>MEXICO-Total - Salaries, Wage and Benefits, M$</v>
          </cell>
          <cell r="E7">
            <v>2.0647695372536536</v>
          </cell>
          <cell r="F7">
            <v>0.44264518325114155</v>
          </cell>
          <cell r="G7">
            <v>2.5074147205047952</v>
          </cell>
          <cell r="H7">
            <v>1.529970597589041</v>
          </cell>
          <cell r="I7">
            <v>1.2525379452054797</v>
          </cell>
          <cell r="J7">
            <v>0.30873879452054798</v>
          </cell>
          <cell r="K7">
            <v>0</v>
          </cell>
          <cell r="L7">
            <v>1.5612767397260277</v>
          </cell>
          <cell r="M7">
            <v>3.5128340424714661</v>
          </cell>
          <cell r="N7">
            <v>7.8099999999999989E-2</v>
          </cell>
          <cell r="O7">
            <v>3.5909340424714662</v>
          </cell>
          <cell r="P7">
            <v>1.0749744931506848</v>
          </cell>
          <cell r="Q7">
            <v>0</v>
          </cell>
          <cell r="R7">
            <v>0.13236858402383561</v>
          </cell>
          <cell r="S7">
            <v>0</v>
          </cell>
          <cell r="T7">
            <v>0.13236858402383561</v>
          </cell>
          <cell r="U7">
            <v>0.56954489118876706</v>
          </cell>
          <cell r="V7">
            <v>10.966484068654617</v>
          </cell>
        </row>
        <row r="8">
          <cell r="D8" t="str">
            <v>MEXICO-Total - XOM Employee SWB, M$</v>
          </cell>
          <cell r="E8">
            <v>2.0647695372536536</v>
          </cell>
          <cell r="F8">
            <v>0.44264518325114155</v>
          </cell>
          <cell r="G8">
            <v>2.5074147205047952</v>
          </cell>
          <cell r="H8">
            <v>1.529970597589041</v>
          </cell>
          <cell r="I8">
            <v>1.2525379452054797</v>
          </cell>
          <cell r="J8">
            <v>0.30873879452054798</v>
          </cell>
          <cell r="K8">
            <v>0</v>
          </cell>
          <cell r="L8">
            <v>1.5612767397260277</v>
          </cell>
          <cell r="M8">
            <v>3.5128340424714661</v>
          </cell>
          <cell r="N8">
            <v>7.8099999999999989E-2</v>
          </cell>
          <cell r="O8">
            <v>3.5909340424714662</v>
          </cell>
          <cell r="P8">
            <v>1.0594404657534247</v>
          </cell>
          <cell r="Q8">
            <v>0</v>
          </cell>
          <cell r="R8">
            <v>0.13236858402383561</v>
          </cell>
          <cell r="S8">
            <v>0</v>
          </cell>
          <cell r="T8">
            <v>0.13236858402383561</v>
          </cell>
          <cell r="U8">
            <v>0.56954489118876706</v>
          </cell>
          <cell r="V8">
            <v>10.950950041257357</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1.5534027397260277E-2</v>
          </cell>
          <cell r="Q9">
            <v>0</v>
          </cell>
          <cell r="R9">
            <v>0</v>
          </cell>
          <cell r="S9">
            <v>0</v>
          </cell>
          <cell r="T9">
            <v>0</v>
          </cell>
          <cell r="U9">
            <v>0</v>
          </cell>
          <cell r="V9">
            <v>1.5534027397260277E-2</v>
          </cell>
        </row>
        <row r="10">
          <cell r="D10" t="str">
            <v>MEXICO-Total - Employee Expenses (T&amp;E), M$</v>
          </cell>
          <cell r="E10">
            <v>3.5771435707678073E-2</v>
          </cell>
          <cell r="F10">
            <v>4.7385300556271479E-2</v>
          </cell>
          <cell r="G10">
            <v>8.3156736263949552E-2</v>
          </cell>
          <cell r="H10">
            <v>5.0597357402120839E-2</v>
          </cell>
          <cell r="I10">
            <v>0.1300974794520548</v>
          </cell>
          <cell r="J10">
            <v>0</v>
          </cell>
          <cell r="K10">
            <v>0</v>
          </cell>
          <cell r="L10">
            <v>0.1300974794520548</v>
          </cell>
          <cell r="M10">
            <v>0.36112787354660286</v>
          </cell>
          <cell r="N10">
            <v>3.5999999999999997E-2</v>
          </cell>
          <cell r="O10">
            <v>0.39712787354660284</v>
          </cell>
          <cell r="P10">
            <v>9.7670136986301379E-2</v>
          </cell>
          <cell r="Q10">
            <v>0</v>
          </cell>
          <cell r="R10">
            <v>2.9917808219178083E-2</v>
          </cell>
          <cell r="S10">
            <v>0</v>
          </cell>
          <cell r="T10">
            <v>2.9917808219178083E-2</v>
          </cell>
          <cell r="U10">
            <v>2.8832760388134249E-2</v>
          </cell>
          <cell r="V10">
            <v>0.81740015225834173</v>
          </cell>
        </row>
        <row r="11">
          <cell r="D11" t="str">
            <v>MEXICO-Total - Training Expenses, M$</v>
          </cell>
          <cell r="E11">
            <v>2.422900776712329E-3</v>
          </cell>
          <cell r="F11">
            <v>2.5041823041095892E-2</v>
          </cell>
          <cell r="G11">
            <v>2.746472381780822E-2</v>
          </cell>
          <cell r="H11">
            <v>0</v>
          </cell>
          <cell r="I11">
            <v>9.7087671232876736E-3</v>
          </cell>
          <cell r="J11">
            <v>2.9126301369863015E-3</v>
          </cell>
          <cell r="K11">
            <v>0</v>
          </cell>
          <cell r="L11">
            <v>1.2621397260273975E-2</v>
          </cell>
          <cell r="M11">
            <v>2.1277383895012894E-3</v>
          </cell>
          <cell r="N11">
            <v>1.4999999999999999E-2</v>
          </cell>
          <cell r="O11">
            <v>1.7127738389501289E-2</v>
          </cell>
          <cell r="P11">
            <v>6.9592273972602745E-2</v>
          </cell>
          <cell r="Q11">
            <v>0</v>
          </cell>
          <cell r="R11">
            <v>0</v>
          </cell>
          <cell r="S11">
            <v>0</v>
          </cell>
          <cell r="T11">
            <v>0</v>
          </cell>
          <cell r="U11">
            <v>0</v>
          </cell>
          <cell r="V11">
            <v>0.12680613344018624</v>
          </cell>
        </row>
        <row r="12">
          <cell r="D12" t="str">
            <v>MEXICO-Total - Consultancy/Professional Fees, M$</v>
          </cell>
          <cell r="E12">
            <v>-4.4293875115633666E-2</v>
          </cell>
          <cell r="F12">
            <v>2.4320461643835615E-2</v>
          </cell>
          <cell r="G12">
            <v>-1.9973413471798051E-2</v>
          </cell>
          <cell r="H12">
            <v>0.11249047954450253</v>
          </cell>
          <cell r="I12">
            <v>1.5534027397260276E-2</v>
          </cell>
          <cell r="J12">
            <v>2.9126301369863015E-2</v>
          </cell>
          <cell r="K12">
            <v>0</v>
          </cell>
          <cell r="L12">
            <v>4.4660328767123295E-2</v>
          </cell>
          <cell r="M12">
            <v>0.29915143632223712</v>
          </cell>
          <cell r="N12">
            <v>0.03</v>
          </cell>
          <cell r="O12">
            <v>0.32915143632223709</v>
          </cell>
          <cell r="P12">
            <v>1.4563150684931508E-2</v>
          </cell>
          <cell r="Q12">
            <v>0</v>
          </cell>
          <cell r="R12">
            <v>0</v>
          </cell>
          <cell r="S12">
            <v>0</v>
          </cell>
          <cell r="T12">
            <v>0</v>
          </cell>
          <cell r="U12">
            <v>1.700975067958356E-2</v>
          </cell>
          <cell r="V12">
            <v>0.49790173252657999</v>
          </cell>
        </row>
        <row r="13">
          <cell r="D13" t="str">
            <v>MEXICO-Advertising and Promotions, M$</v>
          </cell>
          <cell r="E13">
            <v>0</v>
          </cell>
          <cell r="F13">
            <v>0</v>
          </cell>
          <cell r="G13">
            <v>0</v>
          </cell>
          <cell r="H13">
            <v>0</v>
          </cell>
          <cell r="I13">
            <v>0</v>
          </cell>
          <cell r="J13">
            <v>0</v>
          </cell>
          <cell r="K13">
            <v>0</v>
          </cell>
          <cell r="L13">
            <v>0</v>
          </cell>
          <cell r="M13">
            <v>4.2165065479452046</v>
          </cell>
          <cell r="N13">
            <v>0</v>
          </cell>
          <cell r="O13">
            <v>4.2165065479452046</v>
          </cell>
          <cell r="P13">
            <v>0</v>
          </cell>
          <cell r="Q13">
            <v>0</v>
          </cell>
          <cell r="R13">
            <v>0</v>
          </cell>
          <cell r="S13">
            <v>0</v>
          </cell>
          <cell r="T13">
            <v>0</v>
          </cell>
          <cell r="U13">
            <v>0</v>
          </cell>
          <cell r="V13">
            <v>4.2165065479452046</v>
          </cell>
        </row>
        <row r="14">
          <cell r="D14" t="str">
            <v>MEXICO-Maintenance and Repairs, M$</v>
          </cell>
          <cell r="E14">
            <v>0.34201282291506857</v>
          </cell>
          <cell r="F14">
            <v>2.4098384308590577E-2</v>
          </cell>
          <cell r="G14">
            <v>0.36611120722365914</v>
          </cell>
          <cell r="H14">
            <v>0</v>
          </cell>
          <cell r="I14">
            <v>0</v>
          </cell>
          <cell r="J14">
            <v>5.145646575342467E-2</v>
          </cell>
          <cell r="K14">
            <v>0</v>
          </cell>
          <cell r="L14">
            <v>5.145646575342467E-2</v>
          </cell>
          <cell r="M14">
            <v>0.11996088611534604</v>
          </cell>
          <cell r="N14">
            <v>2.5000000000000001E-3</v>
          </cell>
          <cell r="O14">
            <v>0.12246088611534604</v>
          </cell>
          <cell r="P14">
            <v>2.9126301369863015E-2</v>
          </cell>
          <cell r="Q14">
            <v>0</v>
          </cell>
          <cell r="R14">
            <v>0</v>
          </cell>
          <cell r="S14">
            <v>0</v>
          </cell>
          <cell r="T14">
            <v>0</v>
          </cell>
          <cell r="U14">
            <v>0</v>
          </cell>
          <cell r="V14">
            <v>0.5691548604622928</v>
          </cell>
        </row>
        <row r="15">
          <cell r="D15" t="str">
            <v>MEXICO-Depreciation, M$</v>
          </cell>
          <cell r="E15">
            <v>0.34399999999999992</v>
          </cell>
          <cell r="F15">
            <v>2.9748999999999998E-2</v>
          </cell>
          <cell r="G15">
            <v>0.37374899999999989</v>
          </cell>
          <cell r="H15">
            <v>1.2514520000000003E-2</v>
          </cell>
          <cell r="I15">
            <v>0</v>
          </cell>
          <cell r="J15">
            <v>0.09</v>
          </cell>
          <cell r="K15">
            <v>0</v>
          </cell>
          <cell r="L15">
            <v>0.09</v>
          </cell>
          <cell r="M15">
            <v>0.35350890986843592</v>
          </cell>
          <cell r="N15">
            <v>0</v>
          </cell>
          <cell r="O15">
            <v>0.35350890986843592</v>
          </cell>
          <cell r="P15">
            <v>4.8543835616438367E-4</v>
          </cell>
          <cell r="Q15">
            <v>0</v>
          </cell>
          <cell r="R15">
            <v>0</v>
          </cell>
          <cell r="S15">
            <v>0</v>
          </cell>
          <cell r="T15">
            <v>0</v>
          </cell>
          <cell r="U15">
            <v>2.1587425199999996E-2</v>
          </cell>
          <cell r="V15">
            <v>0.85184529342460036</v>
          </cell>
        </row>
        <row r="16">
          <cell r="D16" t="str">
            <v>MEXICO-Energy, M$</v>
          </cell>
          <cell r="E16">
            <v>0.12135958904109591</v>
          </cell>
          <cell r="F16">
            <v>0</v>
          </cell>
          <cell r="G16">
            <v>0.12135958904109591</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0.12135958904109591</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0.10199999999999999</v>
          </cell>
          <cell r="O17">
            <v>0.10199999999999999</v>
          </cell>
          <cell r="P17">
            <v>0</v>
          </cell>
          <cell r="Q17">
            <v>0</v>
          </cell>
          <cell r="R17">
            <v>0</v>
          </cell>
          <cell r="S17">
            <v>0</v>
          </cell>
          <cell r="T17">
            <v>0</v>
          </cell>
          <cell r="U17">
            <v>0</v>
          </cell>
          <cell r="V17">
            <v>0.10199999999999999</v>
          </cell>
        </row>
        <row r="18">
          <cell r="D18" t="str">
            <v>MEXICO-Freight Cost, M$</v>
          </cell>
          <cell r="E18">
            <v>0</v>
          </cell>
          <cell r="F18">
            <v>5.0435045199452073</v>
          </cell>
          <cell r="G18">
            <v>5.0435045199452073</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5.0435045199452073</v>
          </cell>
        </row>
        <row r="19">
          <cell r="D19" t="str">
            <v>MEXICO-Other Direct OPEX, M$</v>
          </cell>
          <cell r="E19">
            <v>0.44983084921849315</v>
          </cell>
          <cell r="F19">
            <v>4.6188999249011056E-2</v>
          </cell>
          <cell r="G19">
            <v>0.49601984846750419</v>
          </cell>
          <cell r="H19">
            <v>0.4621684133948748</v>
          </cell>
          <cell r="I19">
            <v>3.8835068493150694E-2</v>
          </cell>
          <cell r="J19">
            <v>7.7670136986301375E-2</v>
          </cell>
          <cell r="K19">
            <v>0</v>
          </cell>
          <cell r="L19">
            <v>0.11650520547945206</v>
          </cell>
          <cell r="M19">
            <v>0.73670454024579568</v>
          </cell>
          <cell r="N19">
            <v>3.7848508703945205E-3</v>
          </cell>
          <cell r="O19">
            <v>0.74048939111619017</v>
          </cell>
          <cell r="P19">
            <v>2.0018926472602745</v>
          </cell>
          <cell r="Q19">
            <v>0</v>
          </cell>
          <cell r="R19">
            <v>5.6677025923974424E-2</v>
          </cell>
          <cell r="S19">
            <v>0</v>
          </cell>
          <cell r="T19">
            <v>5.6677025923974424E-2</v>
          </cell>
          <cell r="U19">
            <v>0.13076274650550684</v>
          </cell>
          <cell r="V19">
            <v>4.0045152781477773</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-0.52946716989654874</v>
          </cell>
          <cell r="V20">
            <v>-0.52946716989654874</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267.10000000000002</v>
          </cell>
          <cell r="H24">
            <v>24.2</v>
          </cell>
          <cell r="I24">
            <v>5.0999999999999996</v>
          </cell>
          <cell r="J24">
            <v>14.2</v>
          </cell>
          <cell r="K24">
            <v>3.5</v>
          </cell>
          <cell r="L24">
            <v>22.8</v>
          </cell>
          <cell r="M24">
            <v>107.8</v>
          </cell>
          <cell r="N24">
            <v>8.1999999999999993</v>
          </cell>
          <cell r="O24">
            <v>116</v>
          </cell>
          <cell r="P24">
            <v>37.5</v>
          </cell>
          <cell r="Q24">
            <v>1.3</v>
          </cell>
          <cell r="R24">
            <v>0.3</v>
          </cell>
          <cell r="S24">
            <v>0.1</v>
          </cell>
          <cell r="T24">
            <v>1.7</v>
          </cell>
          <cell r="U24">
            <v>-10.179342165775495</v>
          </cell>
          <cell r="V24">
            <v>459.12065783422446</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16.600000000000001</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9.3000000000000007</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17.899999999999999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76.099999999999994</v>
          </cell>
          <cell r="G37">
            <v>88.3</v>
          </cell>
          <cell r="H37">
            <v>4.0999999999999996</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-10.179342165775495</v>
          </cell>
          <cell r="V38">
            <v>-10.179342165775495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-0.61012000000000022</v>
          </cell>
          <cell r="V78">
            <v>-0.61012000000000022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-0.61012000000000022</v>
          </cell>
          <cell r="V92">
            <v>-0.61012000000000022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1.9597759518755657</v>
          </cell>
          <cell r="F96">
            <v>1.469750310765632</v>
          </cell>
          <cell r="G96">
            <v>3.4295262626411978</v>
          </cell>
          <cell r="H96">
            <v>0.26039257129822274</v>
          </cell>
          <cell r="I96">
            <v>2.8197707736389677E-2</v>
          </cell>
          <cell r="J96">
            <v>0.14921300356574338</v>
          </cell>
          <cell r="K96">
            <v>4.7430544665873736E-2</v>
          </cell>
          <cell r="L96">
            <v>0.2248412559680068</v>
          </cell>
          <cell r="M96">
            <v>3.1505425129925544</v>
          </cell>
          <cell r="N96">
            <v>0.1692717220902579</v>
          </cell>
          <cell r="O96">
            <v>3.3198142350828124</v>
          </cell>
          <cell r="P96">
            <v>0.39795311325055716</v>
          </cell>
          <cell r="Q96">
            <v>0</v>
          </cell>
          <cell r="R96">
            <v>0</v>
          </cell>
          <cell r="S96">
            <v>0</v>
          </cell>
          <cell r="T96">
            <v>0</v>
          </cell>
          <cell r="U96">
            <v>-0.28384356465337923</v>
          </cell>
          <cell r="V96">
            <v>7.348683873587416</v>
          </cell>
        </row>
        <row r="97">
          <cell r="D97" t="str">
            <v>ARGENTINA-Total - Salaries, Wage and Benefits, M$</v>
          </cell>
          <cell r="E97">
            <v>0.7839467859391116</v>
          </cell>
          <cell r="F97">
            <v>9.7448724126074485E-2</v>
          </cell>
          <cell r="G97">
            <v>0.88139551006518613</v>
          </cell>
          <cell r="H97">
            <v>0.17413909093873692</v>
          </cell>
          <cell r="I97">
            <v>0</v>
          </cell>
          <cell r="J97">
            <v>0</v>
          </cell>
          <cell r="K97">
            <v>3.5000000000000003E-2</v>
          </cell>
          <cell r="L97">
            <v>3.5000000000000003E-2</v>
          </cell>
          <cell r="M97">
            <v>0.67031124556750465</v>
          </cell>
          <cell r="N97">
            <v>0.05</v>
          </cell>
          <cell r="O97">
            <v>0.7203112455675047</v>
          </cell>
          <cell r="P97">
            <v>0.26861360744985668</v>
          </cell>
          <cell r="Q97">
            <v>0</v>
          </cell>
          <cell r="R97">
            <v>0</v>
          </cell>
          <cell r="S97">
            <v>0</v>
          </cell>
          <cell r="T97">
            <v>0</v>
          </cell>
          <cell r="U97">
            <v>0</v>
          </cell>
          <cell r="V97">
            <v>2.0794594540212841</v>
          </cell>
        </row>
        <row r="98">
          <cell r="D98" t="str">
            <v>ARGENTINA-Total - XOM Employee SWB, M$</v>
          </cell>
          <cell r="E98">
            <v>0.7839467859391116</v>
          </cell>
          <cell r="F98">
            <v>9.1270901805157581E-2</v>
          </cell>
          <cell r="G98">
            <v>0.87521768774426922</v>
          </cell>
          <cell r="H98">
            <v>0.16810184165506931</v>
          </cell>
          <cell r="I98">
            <v>0</v>
          </cell>
          <cell r="J98">
            <v>0</v>
          </cell>
          <cell r="K98">
            <v>3.5000000000000003E-2</v>
          </cell>
          <cell r="L98">
            <v>3.5000000000000003E-2</v>
          </cell>
          <cell r="M98">
            <v>0.67031124556750465</v>
          </cell>
          <cell r="N98">
            <v>0.05</v>
          </cell>
          <cell r="O98">
            <v>0.7203112455675047</v>
          </cell>
          <cell r="P98">
            <v>0.26861360744985668</v>
          </cell>
          <cell r="Q98">
            <v>0</v>
          </cell>
          <cell r="R98">
            <v>0</v>
          </cell>
          <cell r="S98">
            <v>0</v>
          </cell>
          <cell r="T98">
            <v>0</v>
          </cell>
          <cell r="U98">
            <v>0</v>
          </cell>
          <cell r="V98">
            <v>2.0672443824166997</v>
          </cell>
        </row>
        <row r="99">
          <cell r="D99" t="str">
            <v>ARGENTINA-Total - Contract Employee SWB, M$</v>
          </cell>
          <cell r="E99">
            <v>0</v>
          </cell>
          <cell r="F99">
            <v>6.1778223209169071E-3</v>
          </cell>
          <cell r="G99">
            <v>6.1778223209169071E-3</v>
          </cell>
          <cell r="H99">
            <v>6.0372492836676213E-3</v>
          </cell>
          <cell r="I99">
            <v>0</v>
          </cell>
          <cell r="J99">
            <v>0</v>
          </cell>
          <cell r="K99">
            <v>0</v>
          </cell>
          <cell r="L99">
            <v>0</v>
          </cell>
          <cell r="M99">
            <v>0</v>
          </cell>
          <cell r="N99">
            <v>0</v>
          </cell>
          <cell r="O99">
            <v>0</v>
          </cell>
          <cell r="P99">
            <v>0</v>
          </cell>
          <cell r="Q99">
            <v>0</v>
          </cell>
          <cell r="R99">
            <v>0</v>
          </cell>
          <cell r="S99">
            <v>0</v>
          </cell>
          <cell r="T99">
            <v>0</v>
          </cell>
          <cell r="U99">
            <v>0</v>
          </cell>
          <cell r="V99">
            <v>1.2215071604584529E-2</v>
          </cell>
        </row>
        <row r="100">
          <cell r="D100" t="str">
            <v>ARGENTINA-Total - Employee Expenses (T&amp;E), M$</v>
          </cell>
          <cell r="E100">
            <v>2.3497104893982809E-2</v>
          </cell>
          <cell r="F100">
            <v>1.9834715111111109E-2</v>
          </cell>
          <cell r="G100">
            <v>4.3331820005093918E-2</v>
          </cell>
          <cell r="H100">
            <v>2.3995775966738877E-2</v>
          </cell>
          <cell r="I100">
            <v>0</v>
          </cell>
          <cell r="J100">
            <v>0</v>
          </cell>
          <cell r="K100">
            <v>1.2430544665873736E-2</v>
          </cell>
          <cell r="L100">
            <v>1.2430544665873736E-2</v>
          </cell>
          <cell r="M100">
            <v>0.14374879197707732</v>
          </cell>
          <cell r="N100">
            <v>0.02</v>
          </cell>
          <cell r="O100">
            <v>0.16374879197707731</v>
          </cell>
          <cell r="P100">
            <v>4.7856697777777783E-2</v>
          </cell>
          <cell r="Q100">
            <v>0</v>
          </cell>
          <cell r="R100">
            <v>0</v>
          </cell>
          <cell r="S100">
            <v>0</v>
          </cell>
          <cell r="T100">
            <v>0</v>
          </cell>
          <cell r="U100">
            <v>0</v>
          </cell>
          <cell r="V100">
            <v>0.29136363039256163</v>
          </cell>
        </row>
        <row r="101">
          <cell r="D101" t="str">
            <v>ARGENTINA-Total - Training Expenses, M$</v>
          </cell>
          <cell r="E101">
            <v>2.308241691977078E-3</v>
          </cell>
          <cell r="F101">
            <v>1.221644732982808E-2</v>
          </cell>
          <cell r="G101">
            <v>1.4524689021805159E-2</v>
          </cell>
          <cell r="H101">
            <v>9.5020349950160603E-3</v>
          </cell>
          <cell r="I101">
            <v>0</v>
          </cell>
          <cell r="J101">
            <v>0</v>
          </cell>
          <cell r="K101">
            <v>-1.3877787807814457E-20</v>
          </cell>
          <cell r="L101">
            <v>-1.3877787807814457E-20</v>
          </cell>
          <cell r="M101">
            <v>9.9006106557090884E-3</v>
          </cell>
          <cell r="N101">
            <v>3.0000000000000001E-3</v>
          </cell>
          <cell r="O101">
            <v>1.2900610655709088E-2</v>
          </cell>
          <cell r="P101">
            <v>6.5186246418338107E-3</v>
          </cell>
          <cell r="Q101">
            <v>0</v>
          </cell>
          <cell r="R101">
            <v>0</v>
          </cell>
          <cell r="S101">
            <v>0</v>
          </cell>
          <cell r="T101">
            <v>0</v>
          </cell>
          <cell r="U101">
            <v>0</v>
          </cell>
          <cell r="V101">
            <v>4.3445959314364117E-2</v>
          </cell>
        </row>
        <row r="102">
          <cell r="D102" t="str">
            <v>ARGENTINA-Total - Consultancy/Professional Fees, M$</v>
          </cell>
          <cell r="E102">
            <v>6.9693723809523794E-2</v>
          </cell>
          <cell r="F102">
            <v>9.0158673333333335E-3</v>
          </cell>
          <cell r="G102">
            <v>7.8709591142857124E-2</v>
          </cell>
          <cell r="H102">
            <v>0</v>
          </cell>
          <cell r="I102">
            <v>0</v>
          </cell>
          <cell r="J102">
            <v>0.13087097777777776</v>
          </cell>
          <cell r="K102">
            <v>0</v>
          </cell>
          <cell r="L102">
            <v>0.13087097777777776</v>
          </cell>
          <cell r="M102">
            <v>0</v>
          </cell>
          <cell r="N102">
            <v>0</v>
          </cell>
          <cell r="O102">
            <v>0</v>
          </cell>
          <cell r="P102">
            <v>0</v>
          </cell>
          <cell r="Q102">
            <v>0</v>
          </cell>
          <cell r="R102">
            <v>0</v>
          </cell>
          <cell r="S102">
            <v>0</v>
          </cell>
          <cell r="T102">
            <v>0</v>
          </cell>
          <cell r="U102">
            <v>0</v>
          </cell>
          <cell r="V102">
            <v>0.20958056892063487</v>
          </cell>
        </row>
        <row r="103">
          <cell r="D103" t="str">
            <v>ARGENTINA-Advertising and Promotions, M$</v>
          </cell>
          <cell r="E103">
            <v>0</v>
          </cell>
          <cell r="F103">
            <v>0</v>
          </cell>
          <cell r="G103">
            <v>0</v>
          </cell>
          <cell r="H103">
            <v>0</v>
          </cell>
          <cell r="I103">
            <v>0</v>
          </cell>
          <cell r="J103">
            <v>0</v>
          </cell>
          <cell r="K103">
            <v>0</v>
          </cell>
          <cell r="L103">
            <v>0</v>
          </cell>
          <cell r="M103">
            <v>0.81482808022922637</v>
          </cell>
          <cell r="N103">
            <v>0</v>
          </cell>
          <cell r="O103">
            <v>0.81482808022922637</v>
          </cell>
          <cell r="P103">
            <v>0</v>
          </cell>
          <cell r="Q103">
            <v>0</v>
          </cell>
          <cell r="R103">
            <v>0</v>
          </cell>
          <cell r="S103">
            <v>0</v>
          </cell>
          <cell r="T103">
            <v>0</v>
          </cell>
          <cell r="U103">
            <v>0</v>
          </cell>
          <cell r="V103">
            <v>0.81482808022922637</v>
          </cell>
        </row>
        <row r="104">
          <cell r="D104" t="str">
            <v>ARGENTINA-Maintenance and Repairs, M$</v>
          </cell>
          <cell r="E104">
            <v>0.13051020253894549</v>
          </cell>
          <cell r="F104">
            <v>1.2216069699885384E-2</v>
          </cell>
          <cell r="G104">
            <v>0.14272627223883089</v>
          </cell>
          <cell r="H104">
            <v>0</v>
          </cell>
          <cell r="I104">
            <v>0</v>
          </cell>
          <cell r="J104">
            <v>0</v>
          </cell>
          <cell r="K104">
            <v>0</v>
          </cell>
          <cell r="L104">
            <v>0</v>
          </cell>
          <cell r="M104">
            <v>0</v>
          </cell>
          <cell r="N104">
            <v>2E-3</v>
          </cell>
          <cell r="O104">
            <v>2E-3</v>
          </cell>
          <cell r="P104">
            <v>4.6561604584527221E-4</v>
          </cell>
          <cell r="Q104">
            <v>0</v>
          </cell>
          <cell r="R104">
            <v>0</v>
          </cell>
          <cell r="S104">
            <v>0</v>
          </cell>
          <cell r="T104">
            <v>0</v>
          </cell>
          <cell r="U104">
            <v>0</v>
          </cell>
          <cell r="V104">
            <v>0.14519188828467616</v>
          </cell>
        </row>
        <row r="105">
          <cell r="D105" t="str">
            <v>ARGENTINA-Depreciation, M$</v>
          </cell>
          <cell r="E105">
            <v>0.628</v>
          </cell>
          <cell r="F105">
            <v>0</v>
          </cell>
          <cell r="G105">
            <v>0.628</v>
          </cell>
          <cell r="H105">
            <v>0</v>
          </cell>
          <cell r="I105">
            <v>0</v>
          </cell>
          <cell r="J105">
            <v>1.8342025787965618E-2</v>
          </cell>
          <cell r="K105">
            <v>0</v>
          </cell>
          <cell r="L105">
            <v>1.8342025787965618E-2</v>
          </cell>
          <cell r="M105">
            <v>0.04</v>
          </cell>
          <cell r="N105">
            <v>4.0000000000000001E-3</v>
          </cell>
          <cell r="O105">
            <v>4.3999999999999997E-2</v>
          </cell>
          <cell r="P105">
            <v>0</v>
          </cell>
          <cell r="Q105">
            <v>0</v>
          </cell>
          <cell r="R105">
            <v>0</v>
          </cell>
          <cell r="S105">
            <v>0</v>
          </cell>
          <cell r="T105">
            <v>0</v>
          </cell>
          <cell r="U105">
            <v>0</v>
          </cell>
          <cell r="V105">
            <v>0.69034202578796566</v>
          </cell>
        </row>
        <row r="106">
          <cell r="D106" t="str">
            <v>ARGENTINA-Energy, M$</v>
          </cell>
          <cell r="E106">
            <v>6.4736561604584505E-2</v>
          </cell>
          <cell r="F106">
            <v>0</v>
          </cell>
          <cell r="G106">
            <v>6.4736561604584505E-2</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6.4736561604584505E-2</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5.7000000000000002E-2</v>
          </cell>
          <cell r="N107">
            <v>7.3499999999999996E-2</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1.0689060124245557</v>
          </cell>
          <cell r="G108">
            <v>1.0689060124245557</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1.0689060124245557</v>
          </cell>
        </row>
        <row r="109">
          <cell r="D109" t="str">
            <v>ARGENTINA-Other Direct OPEX, M$</v>
          </cell>
          <cell r="E109">
            <v>0.2570833313974405</v>
          </cell>
          <cell r="F109">
            <v>0.25011247474084392</v>
          </cell>
          <cell r="G109">
            <v>0.50719580613828441</v>
          </cell>
          <cell r="H109">
            <v>5.2755669397730895E-2</v>
          </cell>
          <cell r="I109">
            <v>2.8197707736389677E-2</v>
          </cell>
          <cell r="J109">
            <v>0</v>
          </cell>
          <cell r="K109">
            <v>-1.2576745200831852E-20</v>
          </cell>
          <cell r="L109">
            <v>2.8197707736389677E-2</v>
          </cell>
          <cell r="M109">
            <v>1.4147537845630369</v>
          </cell>
          <cell r="N109">
            <v>1.677172209025788E-2</v>
          </cell>
          <cell r="O109">
            <v>1.4315255066532948</v>
          </cell>
          <cell r="P109">
            <v>7.4498567335243543E-2</v>
          </cell>
          <cell r="Q109">
            <v>0</v>
          </cell>
          <cell r="R109">
            <v>0</v>
          </cell>
          <cell r="S109">
            <v>0</v>
          </cell>
          <cell r="T109">
            <v>0</v>
          </cell>
          <cell r="U109">
            <v>0</v>
          </cell>
          <cell r="V109">
            <v>2.0941732572609428</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-0.28384356465337923</v>
          </cell>
          <cell r="V110">
            <v>-0.28384356465337923</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8.4018346658756453</v>
          </cell>
          <cell r="F114">
            <v>8.7900874396517068</v>
          </cell>
          <cell r="G114">
            <v>17.191922105527354</v>
          </cell>
          <cell r="H114">
            <v>1.8876913216744182</v>
          </cell>
          <cell r="I114">
            <v>0.13400000000000001</v>
          </cell>
          <cell r="J114">
            <v>0.48786462187907603</v>
          </cell>
          <cell r="K114">
            <v>6.699999999999999E-2</v>
          </cell>
          <cell r="L114">
            <v>0.68886462187907604</v>
          </cell>
          <cell r="M114">
            <v>7.5128230176481186</v>
          </cell>
          <cell r="N114">
            <v>0.37120000000000009</v>
          </cell>
          <cell r="O114">
            <v>7.8840230176481167</v>
          </cell>
          <cell r="P114">
            <v>0.73541730782608694</v>
          </cell>
          <cell r="Q114">
            <v>0</v>
          </cell>
          <cell r="R114">
            <v>1.2E-2</v>
          </cell>
          <cell r="S114">
            <v>0</v>
          </cell>
          <cell r="T114">
            <v>1.2E-2</v>
          </cell>
          <cell r="U114">
            <v>-0.5806454297080732</v>
          </cell>
          <cell r="V114">
            <v>27.819272944846979</v>
          </cell>
        </row>
        <row r="115">
          <cell r="D115" t="str">
            <v>BRAZIL-Total - Salaries, Wage and Benefits, M$</v>
          </cell>
          <cell r="E115">
            <v>1.4678100190884058</v>
          </cell>
          <cell r="F115">
            <v>0.44190958464492758</v>
          </cell>
          <cell r="G115">
            <v>1.9097196037333333</v>
          </cell>
          <cell r="H115">
            <v>0.85594906307961049</v>
          </cell>
          <cell r="I115">
            <v>0</v>
          </cell>
          <cell r="J115">
            <v>0.2226488905797101</v>
          </cell>
          <cell r="K115">
            <v>4.4999999999999998E-2</v>
          </cell>
          <cell r="L115">
            <v>0.26764889057971009</v>
          </cell>
          <cell r="M115">
            <v>2.1389997277930459</v>
          </cell>
          <cell r="N115">
            <v>0.2167</v>
          </cell>
          <cell r="O115">
            <v>2.3556997277930458</v>
          </cell>
          <cell r="P115">
            <v>0.25448202594202896</v>
          </cell>
          <cell r="Q115">
            <v>0</v>
          </cell>
          <cell r="R115">
            <v>0</v>
          </cell>
          <cell r="S115">
            <v>0</v>
          </cell>
          <cell r="T115">
            <v>0</v>
          </cell>
          <cell r="U115">
            <v>0.81300000000000017</v>
          </cell>
          <cell r="V115">
            <v>6.4564993111277298</v>
          </cell>
        </row>
        <row r="116">
          <cell r="D116" t="str">
            <v>BRAZIL-Total - XOM Employee SWB, M$</v>
          </cell>
          <cell r="E116">
            <v>1.4678100190884058</v>
          </cell>
          <cell r="F116">
            <v>0.29773068698840582</v>
          </cell>
          <cell r="G116">
            <v>1.7655407060768116</v>
          </cell>
          <cell r="H116">
            <v>0.83062749834917571</v>
          </cell>
          <cell r="I116">
            <v>0</v>
          </cell>
          <cell r="J116">
            <v>0.2226488905797101</v>
          </cell>
          <cell r="K116">
            <v>4.4999999999999998E-2</v>
          </cell>
          <cell r="L116">
            <v>0.26764889057971009</v>
          </cell>
          <cell r="M116">
            <v>2.008999727793046</v>
          </cell>
          <cell r="N116">
            <v>0.2167</v>
          </cell>
          <cell r="O116">
            <v>2.2256997277930459</v>
          </cell>
          <cell r="P116">
            <v>0.25448202594202896</v>
          </cell>
          <cell r="Q116">
            <v>0</v>
          </cell>
          <cell r="R116">
            <v>0</v>
          </cell>
          <cell r="S116">
            <v>0</v>
          </cell>
          <cell r="T116">
            <v>0</v>
          </cell>
          <cell r="U116">
            <v>0.81300000000000017</v>
          </cell>
          <cell r="V116">
            <v>6.1569988487407734</v>
          </cell>
        </row>
        <row r="117">
          <cell r="D117" t="str">
            <v>BRAZIL-Total - Contract Employee SWB, M$</v>
          </cell>
          <cell r="E117">
            <v>0</v>
          </cell>
          <cell r="F117">
            <v>0.14417889765652173</v>
          </cell>
          <cell r="G117">
            <v>0.14417889765652173</v>
          </cell>
          <cell r="H117">
            <v>2.532156473043478E-2</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0.29950046238695649</v>
          </cell>
        </row>
        <row r="118">
          <cell r="D118" t="str">
            <v>BRAZIL-Total - Employee Expenses (T&amp;E), M$</v>
          </cell>
          <cell r="E118">
            <v>0.13204180000000001</v>
          </cell>
          <cell r="F118">
            <v>9.5224201074782619E-2</v>
          </cell>
          <cell r="G118">
            <v>0.22726600107478262</v>
          </cell>
          <cell r="H118">
            <v>7.8432787312574984E-2</v>
          </cell>
          <cell r="I118">
            <v>0</v>
          </cell>
          <cell r="J118">
            <v>0</v>
          </cell>
          <cell r="K118">
            <v>2.1999999999999995E-2</v>
          </cell>
          <cell r="L118">
            <v>2.1999999999999995E-2</v>
          </cell>
          <cell r="M118">
            <v>0.61899999999999999</v>
          </cell>
          <cell r="N118">
            <v>7.0000000000000007E-2</v>
          </cell>
          <cell r="O118">
            <v>0.68900000000000006</v>
          </cell>
          <cell r="P118">
            <v>8.0773999999999999E-2</v>
          </cell>
          <cell r="Q118">
            <v>0</v>
          </cell>
          <cell r="R118">
            <v>6.0000000000000001E-3</v>
          </cell>
          <cell r="S118">
            <v>0</v>
          </cell>
          <cell r="T118">
            <v>6.0000000000000001E-3</v>
          </cell>
          <cell r="U118">
            <v>0.192</v>
          </cell>
          <cell r="V118">
            <v>1.2954727883873576</v>
          </cell>
        </row>
        <row r="119">
          <cell r="D119" t="str">
            <v>BRAZIL-Total - Training Expenses, M$</v>
          </cell>
          <cell r="E119">
            <v>2.6917469594202898E-3</v>
          </cell>
          <cell r="F119">
            <v>1.7526586470144927E-2</v>
          </cell>
          <cell r="G119">
            <v>2.0218333429565215E-2</v>
          </cell>
          <cell r="H119">
            <v>1.2338601594069474E-2</v>
          </cell>
          <cell r="I119">
            <v>0</v>
          </cell>
          <cell r="J119">
            <v>0</v>
          </cell>
          <cell r="K119">
            <v>-1.3877787807814457E-20</v>
          </cell>
          <cell r="L119">
            <v>-1.3877787807814457E-20</v>
          </cell>
          <cell r="M119">
            <v>6.1000000000000006E-2</v>
          </cell>
          <cell r="N119">
            <v>1.2E-2</v>
          </cell>
          <cell r="O119">
            <v>7.3000000000000009E-2</v>
          </cell>
          <cell r="P119">
            <v>7.367263768115943E-3</v>
          </cell>
          <cell r="Q119">
            <v>0</v>
          </cell>
          <cell r="R119">
            <v>0</v>
          </cell>
          <cell r="S119">
            <v>0</v>
          </cell>
          <cell r="T119">
            <v>0</v>
          </cell>
          <cell r="U119">
            <v>0</v>
          </cell>
          <cell r="V119">
            <v>0.11292419879175063</v>
          </cell>
        </row>
        <row r="120">
          <cell r="D120" t="str">
            <v>BRAZIL-Total - Consultancy/Professional Fees, M$</v>
          </cell>
          <cell r="E120">
            <v>3.1134894194260436</v>
          </cell>
          <cell r="F120">
            <v>5.3897534515625007E-3</v>
          </cell>
          <cell r="G120">
            <v>3.1188791728776062</v>
          </cell>
          <cell r="H120">
            <v>0</v>
          </cell>
          <cell r="I120">
            <v>0</v>
          </cell>
          <cell r="J120">
            <v>1.5031895067481883E-2</v>
          </cell>
          <cell r="K120">
            <v>0</v>
          </cell>
          <cell r="L120">
            <v>1.5031895067481883E-2</v>
          </cell>
          <cell r="M120">
            <v>1.2999999999999998E-2</v>
          </cell>
          <cell r="N120">
            <v>2.5000000000000001E-2</v>
          </cell>
          <cell r="O120">
            <v>3.7999999999999999E-2</v>
          </cell>
          <cell r="P120">
            <v>5.0000000000000001E-4</v>
          </cell>
          <cell r="Q120">
            <v>0</v>
          </cell>
          <cell r="R120">
            <v>0</v>
          </cell>
          <cell r="S120">
            <v>0</v>
          </cell>
          <cell r="T120">
            <v>0</v>
          </cell>
          <cell r="U120">
            <v>0.05</v>
          </cell>
          <cell r="V120">
            <v>3.2224110679450879</v>
          </cell>
        </row>
        <row r="121">
          <cell r="D121" t="str">
            <v>BRAZIL-Advertising and Promotions, M$</v>
          </cell>
          <cell r="E121">
            <v>0</v>
          </cell>
          <cell r="F121">
            <v>0</v>
          </cell>
          <cell r="G121">
            <v>0</v>
          </cell>
          <cell r="H121">
            <v>0</v>
          </cell>
          <cell r="I121">
            <v>0</v>
          </cell>
          <cell r="J121">
            <v>0</v>
          </cell>
          <cell r="K121">
            <v>0</v>
          </cell>
          <cell r="L121">
            <v>0</v>
          </cell>
          <cell r="M121">
            <v>2.0948232898550723</v>
          </cell>
          <cell r="N121">
            <v>0</v>
          </cell>
          <cell r="O121">
            <v>2.0948232898550723</v>
          </cell>
          <cell r="P121">
            <v>0</v>
          </cell>
          <cell r="Q121">
            <v>0</v>
          </cell>
          <cell r="R121">
            <v>0</v>
          </cell>
          <cell r="S121">
            <v>0</v>
          </cell>
          <cell r="T121">
            <v>0</v>
          </cell>
          <cell r="U121">
            <v>0</v>
          </cell>
          <cell r="V121">
            <v>2.0948232898550723</v>
          </cell>
        </row>
        <row r="122">
          <cell r="D122" t="str">
            <v>BRAZIL-Maintenance and Repairs, M$</v>
          </cell>
          <cell r="E122">
            <v>0.53125099952411592</v>
          </cell>
          <cell r="F122">
            <v>4.9516390424637693E-2</v>
          </cell>
          <cell r="G122">
            <v>0.58076738994875365</v>
          </cell>
          <cell r="H122">
            <v>0</v>
          </cell>
          <cell r="I122">
            <v>0</v>
          </cell>
          <cell r="J122">
            <v>6.8716765217391299E-2</v>
          </cell>
          <cell r="K122">
            <v>0</v>
          </cell>
          <cell r="L122">
            <v>6.8716765217391299E-2</v>
          </cell>
          <cell r="M122">
            <v>0.57699999999999996</v>
          </cell>
          <cell r="N122">
            <v>5.0000000000000001E-3</v>
          </cell>
          <cell r="O122">
            <v>0.58199999999999996</v>
          </cell>
          <cell r="P122">
            <v>7.2703260869565222E-4</v>
          </cell>
          <cell r="Q122">
            <v>0</v>
          </cell>
          <cell r="R122">
            <v>0</v>
          </cell>
          <cell r="S122">
            <v>0</v>
          </cell>
          <cell r="T122">
            <v>0</v>
          </cell>
          <cell r="U122">
            <v>0</v>
          </cell>
          <cell r="V122">
            <v>1.2322111877748405</v>
          </cell>
        </row>
        <row r="123">
          <cell r="D123" t="str">
            <v>BRAZIL-Depreciation, M$</v>
          </cell>
          <cell r="E123">
            <v>2.4160000000000004</v>
          </cell>
          <cell r="F123">
            <v>4.2109999999999995E-3</v>
          </cell>
          <cell r="G123">
            <v>2.4202110000000006</v>
          </cell>
          <cell r="H123">
            <v>8.9297423999999972E-2</v>
          </cell>
          <cell r="I123">
            <v>0</v>
          </cell>
          <cell r="J123">
            <v>8.2099999999999992E-2</v>
          </cell>
          <cell r="K123">
            <v>0</v>
          </cell>
          <cell r="L123">
            <v>8.2099999999999992E-2</v>
          </cell>
          <cell r="M123">
            <v>0.71599999999999997</v>
          </cell>
          <cell r="N123">
            <v>1.4999999999999999E-2</v>
          </cell>
          <cell r="O123">
            <v>0.73099999999999998</v>
          </cell>
          <cell r="P123">
            <v>0</v>
          </cell>
          <cell r="Q123">
            <v>0</v>
          </cell>
          <cell r="R123">
            <v>0</v>
          </cell>
          <cell r="S123">
            <v>0</v>
          </cell>
          <cell r="T123">
            <v>0</v>
          </cell>
          <cell r="U123">
            <v>1E-3</v>
          </cell>
          <cell r="V123">
            <v>3.3236084240000006</v>
          </cell>
        </row>
        <row r="124">
          <cell r="D124" t="str">
            <v>BRAZIL-Energy, M$</v>
          </cell>
          <cell r="E124">
            <v>0.5710358026420288</v>
          </cell>
          <cell r="F124">
            <v>0</v>
          </cell>
          <cell r="G124">
            <v>0.5710358026420288</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0.5710358026420288</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0.34699999999999998</v>
          </cell>
          <cell r="N125">
            <v>0.14249999999999999</v>
          </cell>
          <cell r="O125">
            <v>0.48949999999999994</v>
          </cell>
          <cell r="P125">
            <v>0</v>
          </cell>
          <cell r="Q125">
            <v>0</v>
          </cell>
          <cell r="R125">
            <v>0</v>
          </cell>
          <cell r="S125">
            <v>0</v>
          </cell>
          <cell r="T125">
            <v>0</v>
          </cell>
          <cell r="U125">
            <v>0</v>
          </cell>
          <cell r="V125">
            <v>0.48949999999999994</v>
          </cell>
        </row>
        <row r="126">
          <cell r="D126" t="str">
            <v>BRAZIL-Freight Cost, M$</v>
          </cell>
          <cell r="E126">
            <v>0</v>
          </cell>
          <cell r="F126">
            <v>3.1696891735046369</v>
          </cell>
          <cell r="G126">
            <v>3.1696891735046369</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3.1696891735046369</v>
          </cell>
        </row>
        <row r="127">
          <cell r="D127" t="str">
            <v>BRAZIL-Other Direct OPEX, M$</v>
          </cell>
          <cell r="E127">
            <v>0.16751487823563044</v>
          </cell>
          <cell r="F127">
            <v>5.006620750081014</v>
          </cell>
          <cell r="G127">
            <v>5.1741356283166446</v>
          </cell>
          <cell r="H127">
            <v>0.85167344568816317</v>
          </cell>
          <cell r="I127">
            <v>0.13400000000000001</v>
          </cell>
          <cell r="J127">
            <v>9.9367071014492769E-2</v>
          </cell>
          <cell r="K127">
            <v>1.2351231148954866E-18</v>
          </cell>
          <cell r="L127">
            <v>0.23336707101449278</v>
          </cell>
          <cell r="M127">
            <v>0.94599999999999973</v>
          </cell>
          <cell r="N127">
            <v>-0.115</v>
          </cell>
          <cell r="O127">
            <v>0.83099999999999974</v>
          </cell>
          <cell r="P127">
            <v>0.39156698550724639</v>
          </cell>
          <cell r="Q127">
            <v>0</v>
          </cell>
          <cell r="R127">
            <v>6.0000000000000001E-3</v>
          </cell>
          <cell r="S127">
            <v>0</v>
          </cell>
          <cell r="T127">
            <v>6.0000000000000001E-3</v>
          </cell>
          <cell r="U127">
            <v>0.26300000000000001</v>
          </cell>
          <cell r="V127">
            <v>7.7507431305265477</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-1.8996454297080732</v>
          </cell>
          <cell r="V128">
            <v>-1.8996454297080732</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2.566530805698553</v>
          </cell>
          <cell r="G132">
            <v>2.566530805698553</v>
          </cell>
          <cell r="H132">
            <v>0.10719999999999999</v>
          </cell>
          <cell r="I132">
            <v>0</v>
          </cell>
          <cell r="J132">
            <v>0</v>
          </cell>
          <cell r="K132">
            <v>5.3664000000000003E-3</v>
          </cell>
          <cell r="L132">
            <v>5.3664000000000003E-3</v>
          </cell>
          <cell r="M132">
            <v>2.0947999999999998</v>
          </cell>
          <cell r="N132">
            <v>0.16049999999999998</v>
          </cell>
          <cell r="O132">
            <v>2.2552999999999996</v>
          </cell>
          <cell r="P132">
            <v>0.10915899999999999</v>
          </cell>
          <cell r="Q132">
            <v>0</v>
          </cell>
          <cell r="R132">
            <v>0</v>
          </cell>
          <cell r="S132">
            <v>0</v>
          </cell>
          <cell r="T132">
            <v>0</v>
          </cell>
          <cell r="U132">
            <v>-7.6134594018633095E-3</v>
          </cell>
          <cell r="V132">
            <v>5.0359427462966888</v>
          </cell>
        </row>
        <row r="133">
          <cell r="D133" t="str">
            <v>CARIBBEAN [LS]-Total - Salaries, Wage and Benefits, M$</v>
          </cell>
          <cell r="E133">
            <v>0</v>
          </cell>
          <cell r="F133">
            <v>0.17220000000000002</v>
          </cell>
          <cell r="G133">
            <v>0.17220000000000002</v>
          </cell>
          <cell r="H133">
            <v>0</v>
          </cell>
          <cell r="I133">
            <v>0</v>
          </cell>
          <cell r="J133">
            <v>0</v>
          </cell>
          <cell r="K133">
            <v>5.1600000000000005E-3</v>
          </cell>
          <cell r="L133">
            <v>5.1600000000000005E-3</v>
          </cell>
          <cell r="M133">
            <v>0.50080000000000002</v>
          </cell>
          <cell r="N133">
            <v>0</v>
          </cell>
          <cell r="O133">
            <v>0.50080000000000002</v>
          </cell>
          <cell r="P133">
            <v>0</v>
          </cell>
          <cell r="Q133">
            <v>0</v>
          </cell>
          <cell r="R133">
            <v>0</v>
          </cell>
          <cell r="S133">
            <v>0</v>
          </cell>
          <cell r="T133">
            <v>0</v>
          </cell>
          <cell r="U133">
            <v>0</v>
          </cell>
          <cell r="V133">
            <v>0.67815999999999999</v>
          </cell>
        </row>
        <row r="134">
          <cell r="D134" t="str">
            <v>CARIBBEAN [LS]-Total - XOM Employee SWB, M$</v>
          </cell>
          <cell r="E134">
            <v>0</v>
          </cell>
          <cell r="F134">
            <v>0.16860000000000003</v>
          </cell>
          <cell r="G134">
            <v>0.16860000000000003</v>
          </cell>
          <cell r="H134">
            <v>0</v>
          </cell>
          <cell r="I134">
            <v>0</v>
          </cell>
          <cell r="J134">
            <v>0</v>
          </cell>
          <cell r="K134">
            <v>5.1600000000000005E-3</v>
          </cell>
          <cell r="L134">
            <v>5.1600000000000005E-3</v>
          </cell>
          <cell r="M134">
            <v>0.49349999999999999</v>
          </cell>
          <cell r="N134">
            <v>0</v>
          </cell>
          <cell r="O134">
            <v>0.49349999999999999</v>
          </cell>
          <cell r="P134">
            <v>0</v>
          </cell>
          <cell r="Q134">
            <v>0</v>
          </cell>
          <cell r="R134">
            <v>0</v>
          </cell>
          <cell r="S134">
            <v>0</v>
          </cell>
          <cell r="T134">
            <v>0</v>
          </cell>
          <cell r="U134">
            <v>0</v>
          </cell>
          <cell r="V134">
            <v>0.66725999999999996</v>
          </cell>
        </row>
        <row r="135">
          <cell r="D135" t="str">
            <v>CARIBBEAN [LS]-Total - Contract Employee SWB, M$</v>
          </cell>
          <cell r="E135">
            <v>0</v>
          </cell>
          <cell r="F135">
            <v>3.5999999999999999E-3</v>
          </cell>
          <cell r="G135">
            <v>3.5999999999999999E-3</v>
          </cell>
          <cell r="H135">
            <v>0</v>
          </cell>
          <cell r="I135">
            <v>0</v>
          </cell>
          <cell r="J135">
            <v>0</v>
          </cell>
          <cell r="K135">
            <v>0</v>
          </cell>
          <cell r="L135">
            <v>0</v>
          </cell>
          <cell r="M135">
            <v>7.3000000000000001E-3</v>
          </cell>
          <cell r="N135">
            <v>0</v>
          </cell>
          <cell r="O135">
            <v>7.3000000000000001E-3</v>
          </cell>
          <cell r="P135">
            <v>0</v>
          </cell>
          <cell r="Q135">
            <v>0</v>
          </cell>
          <cell r="R135">
            <v>0</v>
          </cell>
          <cell r="S135">
            <v>0</v>
          </cell>
          <cell r="T135">
            <v>0</v>
          </cell>
          <cell r="U135">
            <v>0</v>
          </cell>
          <cell r="V135">
            <v>1.09E-2</v>
          </cell>
        </row>
        <row r="136">
          <cell r="D136" t="str">
            <v>CARIBBEAN [LS]-Total - Employee Expenses (T&amp;E), M$</v>
          </cell>
          <cell r="E136">
            <v>0</v>
          </cell>
          <cell r="F136">
            <v>1.7799999999999996E-2</v>
          </cell>
          <cell r="G136">
            <v>1.7799999999999996E-2</v>
          </cell>
          <cell r="H136">
            <v>0</v>
          </cell>
          <cell r="I136">
            <v>0</v>
          </cell>
          <cell r="J136">
            <v>0</v>
          </cell>
          <cell r="K136">
            <v>1.2899999999999999E-4</v>
          </cell>
          <cell r="L136">
            <v>1.2899999999999999E-4</v>
          </cell>
          <cell r="M136">
            <v>0.15</v>
          </cell>
          <cell r="N136">
            <v>7.4999999999999997E-3</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7.7400000000000011E-5</v>
          </cell>
          <cell r="L137">
            <v>7.7400000000000011E-5</v>
          </cell>
          <cell r="M137">
            <v>1.4999999999999999E-2</v>
          </cell>
          <cell r="N137">
            <v>3.5000000000000001E-3</v>
          </cell>
          <cell r="O137">
            <v>1.8499999999999999E-2</v>
          </cell>
          <cell r="P137">
            <v>7.1589999999999996E-3</v>
          </cell>
          <cell r="Q137">
            <v>0</v>
          </cell>
          <cell r="R137">
            <v>0</v>
          </cell>
          <cell r="S137">
            <v>0</v>
          </cell>
          <cell r="T137">
            <v>0</v>
          </cell>
          <cell r="U137">
            <v>0</v>
          </cell>
          <cell r="V137">
            <v>3.5736400000000001E-2</v>
          </cell>
        </row>
        <row r="138">
          <cell r="D138" t="str">
            <v>CARIBBEAN [LS]-Total - Consultancy/Professional Fees, M$</v>
          </cell>
          <cell r="E138">
            <v>0</v>
          </cell>
          <cell r="F138">
            <v>2.5000000000000001E-3</v>
          </cell>
          <cell r="G138">
            <v>2.5000000000000001E-3</v>
          </cell>
          <cell r="H138">
            <v>0</v>
          </cell>
          <cell r="I138">
            <v>0</v>
          </cell>
          <cell r="J138">
            <v>0</v>
          </cell>
          <cell r="K138">
            <v>0</v>
          </cell>
          <cell r="L138">
            <v>0</v>
          </cell>
          <cell r="M138">
            <v>4.4999999999999998E-2</v>
          </cell>
          <cell r="N138">
            <v>1.4999999999999999E-2</v>
          </cell>
          <cell r="O138">
            <v>0.06</v>
          </cell>
          <cell r="P138">
            <v>1.2E-2</v>
          </cell>
          <cell r="Q138">
            <v>0</v>
          </cell>
          <cell r="R138">
            <v>0</v>
          </cell>
          <cell r="S138">
            <v>0</v>
          </cell>
          <cell r="T138">
            <v>0</v>
          </cell>
          <cell r="U138">
            <v>0</v>
          </cell>
          <cell r="V138">
            <v>7.4499999999999997E-2</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3.5999999999999999E-3</v>
          </cell>
          <cell r="G140">
            <v>3.5999999999999999E-3</v>
          </cell>
          <cell r="H140">
            <v>0</v>
          </cell>
          <cell r="I140">
            <v>0</v>
          </cell>
          <cell r="J140">
            <v>0</v>
          </cell>
          <cell r="K140">
            <v>0</v>
          </cell>
          <cell r="L140">
            <v>0</v>
          </cell>
          <cell r="M140">
            <v>5.6500000000000002E-2</v>
          </cell>
          <cell r="N140">
            <v>3.7499999999999999E-3</v>
          </cell>
          <cell r="O140">
            <v>6.0249999999999998E-2</v>
          </cell>
          <cell r="P140">
            <v>0</v>
          </cell>
          <cell r="Q140">
            <v>0</v>
          </cell>
          <cell r="R140">
            <v>0</v>
          </cell>
          <cell r="S140">
            <v>0</v>
          </cell>
          <cell r="T140">
            <v>0</v>
          </cell>
          <cell r="U140">
            <v>0</v>
          </cell>
          <cell r="V140">
            <v>6.3850000000000004E-2</v>
          </cell>
        </row>
        <row r="141">
          <cell r="D141" t="str">
            <v>CARIBBEAN [LS]-Depreciation, M$</v>
          </cell>
          <cell r="E141">
            <v>0</v>
          </cell>
          <cell r="F141">
            <v>7.6749999999999985E-2</v>
          </cell>
          <cell r="G141">
            <v>7.6749999999999985E-2</v>
          </cell>
          <cell r="H141">
            <v>0</v>
          </cell>
          <cell r="I141">
            <v>0</v>
          </cell>
          <cell r="J141">
            <v>0</v>
          </cell>
          <cell r="K141">
            <v>0</v>
          </cell>
          <cell r="L141">
            <v>0</v>
          </cell>
          <cell r="M141">
            <v>0.35599999999999993</v>
          </cell>
          <cell r="N141">
            <v>5.0000000000000001E-3</v>
          </cell>
          <cell r="O141">
            <v>0.36099999999999993</v>
          </cell>
          <cell r="P141">
            <v>0</v>
          </cell>
          <cell r="Q141">
            <v>0</v>
          </cell>
          <cell r="R141">
            <v>0</v>
          </cell>
          <cell r="S141">
            <v>0</v>
          </cell>
          <cell r="T141">
            <v>0</v>
          </cell>
          <cell r="U141">
            <v>0</v>
          </cell>
          <cell r="V141">
            <v>0.43774999999999992</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0.10719999999999999</v>
          </cell>
          <cell r="I143">
            <v>0</v>
          </cell>
          <cell r="J143">
            <v>0</v>
          </cell>
          <cell r="K143">
            <v>0</v>
          </cell>
          <cell r="L143">
            <v>0</v>
          </cell>
          <cell r="M143">
            <v>0.25</v>
          </cell>
          <cell r="N143">
            <v>3.85E-2</v>
          </cell>
          <cell r="O143">
            <v>0.28849999999999998</v>
          </cell>
          <cell r="P143">
            <v>0</v>
          </cell>
          <cell r="Q143">
            <v>0</v>
          </cell>
          <cell r="R143">
            <v>0</v>
          </cell>
          <cell r="S143">
            <v>0</v>
          </cell>
          <cell r="T143">
            <v>0</v>
          </cell>
          <cell r="U143">
            <v>0</v>
          </cell>
          <cell r="V143">
            <v>0.39569999999999994</v>
          </cell>
        </row>
        <row r="144">
          <cell r="D144" t="str">
            <v>CARIBBEAN [LS]-Freight Cost, M$</v>
          </cell>
          <cell r="E144">
            <v>0</v>
          </cell>
          <cell r="F144">
            <v>0.16300000000000001</v>
          </cell>
          <cell r="G144">
            <v>0.16300000000000001</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0.16300000000000001</v>
          </cell>
        </row>
        <row r="145">
          <cell r="D145" t="str">
            <v>CARIBBEAN [LS]-Other Direct OPEX, M$</v>
          </cell>
          <cell r="E145">
            <v>0</v>
          </cell>
          <cell r="F145">
            <v>2.1206808056985529</v>
          </cell>
          <cell r="G145">
            <v>2.1206808056985529</v>
          </cell>
          <cell r="H145">
            <v>0</v>
          </cell>
          <cell r="I145">
            <v>0</v>
          </cell>
          <cell r="J145">
            <v>0</v>
          </cell>
          <cell r="K145">
            <v>0</v>
          </cell>
          <cell r="L145">
            <v>0</v>
          </cell>
          <cell r="M145">
            <v>0.3715</v>
          </cell>
          <cell r="N145">
            <v>8.7249999999999994E-2</v>
          </cell>
          <cell r="O145">
            <v>0.45874999999999999</v>
          </cell>
          <cell r="P145">
            <v>0.09</v>
          </cell>
          <cell r="Q145">
            <v>0</v>
          </cell>
          <cell r="R145">
            <v>0</v>
          </cell>
          <cell r="S145">
            <v>0</v>
          </cell>
          <cell r="T145">
            <v>0</v>
          </cell>
          <cell r="U145">
            <v>0</v>
          </cell>
          <cell r="V145">
            <v>2.669430805698553</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-7.6134594018633095E-3</v>
          </cell>
          <cell r="V146">
            <v>-7.6134594018633095E-3</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0.59380000000000011</v>
          </cell>
          <cell r="F150">
            <v>2.2387838157686328</v>
          </cell>
          <cell r="G150">
            <v>2.8325838157686332</v>
          </cell>
          <cell r="H150">
            <v>0.34079999999999999</v>
          </cell>
          <cell r="I150">
            <v>0.11</v>
          </cell>
          <cell r="J150">
            <v>5.7200000000000001E-2</v>
          </cell>
          <cell r="K150">
            <v>7.7999999999999996E-3</v>
          </cell>
          <cell r="L150">
            <v>0.17499999999999999</v>
          </cell>
          <cell r="M150">
            <v>2.6171870000000004</v>
          </cell>
          <cell r="N150">
            <v>0.14000000000000001</v>
          </cell>
          <cell r="O150">
            <v>2.7571870000000001</v>
          </cell>
          <cell r="P150">
            <v>0.20183000000000001</v>
          </cell>
          <cell r="Q150">
            <v>0</v>
          </cell>
          <cell r="R150">
            <v>0</v>
          </cell>
          <cell r="S150">
            <v>0.21088600000000002</v>
          </cell>
          <cell r="T150">
            <v>0.21088600000000002</v>
          </cell>
          <cell r="U150">
            <v>0.12272478100182127</v>
          </cell>
          <cell r="V150">
            <v>6.641011596770455</v>
          </cell>
        </row>
        <row r="151">
          <cell r="D151" t="str">
            <v>CENTAM [LS]-Total - Salaries, Wage and Benefits, M$</v>
          </cell>
          <cell r="E151">
            <v>0.26780000000000004</v>
          </cell>
          <cell r="F151">
            <v>0.21959999999999999</v>
          </cell>
          <cell r="G151">
            <v>0.48740000000000006</v>
          </cell>
          <cell r="H151">
            <v>0</v>
          </cell>
          <cell r="I151">
            <v>0</v>
          </cell>
          <cell r="J151">
            <v>4.1200000000000001E-2</v>
          </cell>
          <cell r="K151">
            <v>7.4999999999999997E-3</v>
          </cell>
          <cell r="L151">
            <v>4.87E-2</v>
          </cell>
          <cell r="M151">
            <v>0.91568700000000014</v>
          </cell>
          <cell r="N151">
            <v>0</v>
          </cell>
          <cell r="O151">
            <v>0.91568700000000014</v>
          </cell>
          <cell r="P151">
            <v>0.06</v>
          </cell>
          <cell r="Q151">
            <v>0</v>
          </cell>
          <cell r="R151">
            <v>0</v>
          </cell>
          <cell r="S151">
            <v>0.12919</v>
          </cell>
          <cell r="T151">
            <v>0.12919</v>
          </cell>
          <cell r="U151">
            <v>0</v>
          </cell>
          <cell r="V151">
            <v>1.6409770000000001</v>
          </cell>
        </row>
        <row r="152">
          <cell r="D152" t="str">
            <v>CENTAM [LS]-Total - XOM Employee SWB, M$</v>
          </cell>
          <cell r="E152">
            <v>0.26780000000000004</v>
          </cell>
          <cell r="F152">
            <v>0.15609999999999999</v>
          </cell>
          <cell r="G152">
            <v>0.42390000000000005</v>
          </cell>
          <cell r="H152">
            <v>0</v>
          </cell>
          <cell r="I152">
            <v>0</v>
          </cell>
          <cell r="J152">
            <v>4.1200000000000001E-2</v>
          </cell>
          <cell r="K152">
            <v>7.4999999999999997E-3</v>
          </cell>
          <cell r="L152">
            <v>4.87E-2</v>
          </cell>
          <cell r="M152">
            <v>0.63573700000000011</v>
          </cell>
          <cell r="N152">
            <v>0</v>
          </cell>
          <cell r="O152">
            <v>0.63573700000000011</v>
          </cell>
          <cell r="P152">
            <v>0.06</v>
          </cell>
          <cell r="Q152">
            <v>0</v>
          </cell>
          <cell r="R152">
            <v>0</v>
          </cell>
          <cell r="S152">
            <v>0.12919</v>
          </cell>
          <cell r="T152">
            <v>0.12919</v>
          </cell>
          <cell r="U152">
            <v>0</v>
          </cell>
          <cell r="V152">
            <v>1.2975270000000001</v>
          </cell>
        </row>
        <row r="153">
          <cell r="D153" t="str">
            <v>CENTAM [LS]-Total - Contract Employee SWB, M$</v>
          </cell>
          <cell r="E153">
            <v>0</v>
          </cell>
          <cell r="F153">
            <v>6.3500000000000001E-2</v>
          </cell>
          <cell r="G153">
            <v>6.3500000000000001E-2</v>
          </cell>
          <cell r="H153">
            <v>0</v>
          </cell>
          <cell r="I153">
            <v>0</v>
          </cell>
          <cell r="J153">
            <v>0</v>
          </cell>
          <cell r="K153">
            <v>0</v>
          </cell>
          <cell r="L153">
            <v>0</v>
          </cell>
          <cell r="M153">
            <v>0.27994999999999998</v>
          </cell>
          <cell r="N153">
            <v>0</v>
          </cell>
          <cell r="O153">
            <v>0.27994999999999998</v>
          </cell>
          <cell r="P153">
            <v>0</v>
          </cell>
          <cell r="Q153">
            <v>0</v>
          </cell>
          <cell r="R153">
            <v>0</v>
          </cell>
          <cell r="S153">
            <v>0</v>
          </cell>
          <cell r="T153">
            <v>0</v>
          </cell>
          <cell r="U153">
            <v>0</v>
          </cell>
          <cell r="V153">
            <v>0.34344999999999998</v>
          </cell>
        </row>
        <row r="154">
          <cell r="D154" t="str">
            <v>CENTAM [LS]-Total - Employee Expenses (T&amp;E), M$</v>
          </cell>
          <cell r="E154">
            <v>6.0000000000000001E-3</v>
          </cell>
          <cell r="F154">
            <v>1.8400000000000003E-2</v>
          </cell>
          <cell r="G154">
            <v>2.4400000000000005E-2</v>
          </cell>
          <cell r="H154">
            <v>0</v>
          </cell>
          <cell r="I154">
            <v>0</v>
          </cell>
          <cell r="J154">
            <v>0</v>
          </cell>
          <cell r="K154">
            <v>1.8750000000000003E-4</v>
          </cell>
          <cell r="L154">
            <v>1.8750000000000003E-4</v>
          </cell>
          <cell r="M154">
            <v>0.17050000000000001</v>
          </cell>
          <cell r="N154">
            <v>7.4999999999999997E-3</v>
          </cell>
          <cell r="O154">
            <v>0.17800000000000002</v>
          </cell>
          <cell r="P154">
            <v>4.8000000000000001E-2</v>
          </cell>
          <cell r="Q154">
            <v>0</v>
          </cell>
          <cell r="R154">
            <v>0</v>
          </cell>
          <cell r="S154">
            <v>7.8370000000000002E-3</v>
          </cell>
          <cell r="T154">
            <v>7.8370000000000002E-3</v>
          </cell>
          <cell r="U154">
            <v>0</v>
          </cell>
          <cell r="V154">
            <v>0.2584245</v>
          </cell>
        </row>
        <row r="155">
          <cell r="D155" t="str">
            <v>CENTAM [LS]-Total - Training Expenses, M$</v>
          </cell>
          <cell r="E155">
            <v>1E-3</v>
          </cell>
          <cell r="F155">
            <v>0.01</v>
          </cell>
          <cell r="G155">
            <v>1.0999999999999999E-2</v>
          </cell>
          <cell r="H155">
            <v>0</v>
          </cell>
          <cell r="I155">
            <v>0</v>
          </cell>
          <cell r="J155">
            <v>2E-3</v>
          </cell>
          <cell r="K155">
            <v>1.1250000000000001E-4</v>
          </cell>
          <cell r="L155">
            <v>2.1125000000000002E-3</v>
          </cell>
          <cell r="M155">
            <v>2.4E-2</v>
          </cell>
          <cell r="N155">
            <v>3.5000000000000001E-3</v>
          </cell>
          <cell r="O155">
            <v>2.75E-2</v>
          </cell>
          <cell r="P155">
            <v>1.1830000000000002E-2</v>
          </cell>
          <cell r="Q155">
            <v>0</v>
          </cell>
          <cell r="R155">
            <v>0</v>
          </cell>
          <cell r="S155">
            <v>0</v>
          </cell>
          <cell r="T155">
            <v>0</v>
          </cell>
          <cell r="U155">
            <v>0</v>
          </cell>
          <cell r="V155">
            <v>5.2442500000000003E-2</v>
          </cell>
        </row>
        <row r="156">
          <cell r="D156" t="str">
            <v>CENTAM [LS]-Total - Consultancy/Professional Fees, M$</v>
          </cell>
          <cell r="E156">
            <v>0.13400000000000001</v>
          </cell>
          <cell r="F156">
            <v>2.5000000000000001E-3</v>
          </cell>
          <cell r="G156">
            <v>0.13650000000000001</v>
          </cell>
          <cell r="H156">
            <v>0</v>
          </cell>
          <cell r="I156">
            <v>0</v>
          </cell>
          <cell r="J156">
            <v>1E-3</v>
          </cell>
          <cell r="K156">
            <v>0</v>
          </cell>
          <cell r="L156">
            <v>1E-3</v>
          </cell>
          <cell r="M156">
            <v>0</v>
          </cell>
          <cell r="N156">
            <v>1.4999999999999999E-2</v>
          </cell>
          <cell r="O156">
            <v>1.4999999999999999E-2</v>
          </cell>
          <cell r="P156">
            <v>1.2E-2</v>
          </cell>
          <cell r="Q156">
            <v>0</v>
          </cell>
          <cell r="R156">
            <v>0</v>
          </cell>
          <cell r="S156">
            <v>3.0000000000000001E-3</v>
          </cell>
          <cell r="T156">
            <v>3.0000000000000001E-3</v>
          </cell>
          <cell r="U156">
            <v>0</v>
          </cell>
          <cell r="V156">
            <v>0.16750000000000001</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6.3E-2</v>
          </cell>
          <cell r="F158">
            <v>7.1999999999999998E-3</v>
          </cell>
          <cell r="G158">
            <v>7.0199999999999999E-2</v>
          </cell>
          <cell r="H158">
            <v>0</v>
          </cell>
          <cell r="I158">
            <v>0</v>
          </cell>
          <cell r="J158">
            <v>2E-3</v>
          </cell>
          <cell r="K158">
            <v>0</v>
          </cell>
          <cell r="L158">
            <v>2E-3</v>
          </cell>
          <cell r="M158">
            <v>1.8499999999999999E-2</v>
          </cell>
          <cell r="N158">
            <v>3.7499999999999999E-3</v>
          </cell>
          <cell r="O158">
            <v>2.2249999999999999E-2</v>
          </cell>
          <cell r="P158">
            <v>0</v>
          </cell>
          <cell r="Q158">
            <v>0</v>
          </cell>
          <cell r="R158">
            <v>0</v>
          </cell>
          <cell r="S158">
            <v>0</v>
          </cell>
          <cell r="T158">
            <v>0</v>
          </cell>
          <cell r="U158">
            <v>0</v>
          </cell>
          <cell r="V158">
            <v>9.4450000000000006E-2</v>
          </cell>
        </row>
        <row r="159">
          <cell r="D159" t="str">
            <v>CENTAM [LS]-Depreciation, M$</v>
          </cell>
          <cell r="E159">
            <v>5.8000000000000003E-2</v>
          </cell>
          <cell r="F159">
            <v>8.1000000000000003E-2</v>
          </cell>
          <cell r="G159">
            <v>0.13900000000000001</v>
          </cell>
          <cell r="H159">
            <v>0</v>
          </cell>
          <cell r="I159">
            <v>0</v>
          </cell>
          <cell r="J159">
            <v>5.0000000000000001E-3</v>
          </cell>
          <cell r="K159">
            <v>0</v>
          </cell>
          <cell r="L159">
            <v>5.0000000000000001E-3</v>
          </cell>
          <cell r="M159">
            <v>0.36699999999999999</v>
          </cell>
          <cell r="N159">
            <v>5.0000000000000001E-3</v>
          </cell>
          <cell r="O159">
            <v>0.372</v>
          </cell>
          <cell r="P159">
            <v>0</v>
          </cell>
          <cell r="Q159">
            <v>0</v>
          </cell>
          <cell r="R159">
            <v>0</v>
          </cell>
          <cell r="S159">
            <v>8.1110000000000002E-3</v>
          </cell>
          <cell r="T159">
            <v>8.1110000000000002E-3</v>
          </cell>
          <cell r="U159">
            <v>0</v>
          </cell>
          <cell r="V159">
            <v>0.52411099999999999</v>
          </cell>
        </row>
        <row r="160">
          <cell r="D160" t="str">
            <v>CENTAM [LS]-Energy, M$</v>
          </cell>
          <cell r="E160">
            <v>1.7999999999999999E-2</v>
          </cell>
          <cell r="F160">
            <v>0</v>
          </cell>
          <cell r="G160">
            <v>1.7999999999999999E-2</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1.7999999999999999E-2</v>
          </cell>
        </row>
        <row r="161">
          <cell r="D161" t="str">
            <v>CENTAM [LS]-Direct Allocations from Other Business Lines (eg. FM, Chem), $M</v>
          </cell>
          <cell r="E161">
            <v>0</v>
          </cell>
          <cell r="F161">
            <v>0</v>
          </cell>
          <cell r="G161">
            <v>0</v>
          </cell>
          <cell r="H161">
            <v>0.34079999999999999</v>
          </cell>
          <cell r="I161">
            <v>0</v>
          </cell>
          <cell r="J161">
            <v>0</v>
          </cell>
          <cell r="K161">
            <v>0</v>
          </cell>
          <cell r="L161">
            <v>0</v>
          </cell>
          <cell r="M161">
            <v>0.3</v>
          </cell>
          <cell r="N161">
            <v>4.8000000000000001E-2</v>
          </cell>
          <cell r="O161">
            <v>0.34799999999999998</v>
          </cell>
          <cell r="P161">
            <v>0</v>
          </cell>
          <cell r="Q161">
            <v>0</v>
          </cell>
          <cell r="R161">
            <v>0</v>
          </cell>
          <cell r="S161">
            <v>8.1110000000000002E-3</v>
          </cell>
          <cell r="T161">
            <v>8.1110000000000002E-3</v>
          </cell>
          <cell r="U161">
            <v>0</v>
          </cell>
          <cell r="V161">
            <v>0.69691100000000006</v>
          </cell>
        </row>
        <row r="162">
          <cell r="D162" t="str">
            <v>CENTAM [LS]-Freight Cost, M$</v>
          </cell>
          <cell r="E162">
            <v>0</v>
          </cell>
          <cell r="F162">
            <v>0.69399999999999995</v>
          </cell>
          <cell r="G162">
            <v>0.69399999999999995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0.69399999999999995</v>
          </cell>
        </row>
        <row r="163">
          <cell r="D163" t="str">
            <v>CENTAM [LS]-Other Direct OPEX, M$</v>
          </cell>
          <cell r="E163">
            <v>4.5999999999999999E-2</v>
          </cell>
          <cell r="F163">
            <v>1.2060838157686331</v>
          </cell>
          <cell r="G163">
            <v>1.2520838157686331</v>
          </cell>
          <cell r="H163">
            <v>0</v>
          </cell>
          <cell r="I163">
            <v>0.11</v>
          </cell>
          <cell r="J163">
            <v>6.0000000000000001E-3</v>
          </cell>
          <cell r="K163">
            <v>0</v>
          </cell>
          <cell r="L163">
            <v>0.11600000000000001</v>
          </cell>
          <cell r="M163">
            <v>0.45150000000000001</v>
          </cell>
          <cell r="N163">
            <v>5.7249999999999995E-2</v>
          </cell>
          <cell r="O163">
            <v>0.50875000000000004</v>
          </cell>
          <cell r="P163">
            <v>7.0000000000000007E-2</v>
          </cell>
          <cell r="Q163">
            <v>0</v>
          </cell>
          <cell r="R163">
            <v>0</v>
          </cell>
          <cell r="S163">
            <v>5.4636999999999998E-2</v>
          </cell>
          <cell r="T163">
            <v>5.4636999999999998E-2</v>
          </cell>
          <cell r="U163">
            <v>0</v>
          </cell>
          <cell r="V163">
            <v>2.0014708157686334</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0.12272478100182127</v>
          </cell>
          <cell r="V164">
            <v>0.12272478100182127</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0.15501237336814622</v>
          </cell>
          <cell r="F168">
            <v>0</v>
          </cell>
          <cell r="G168">
            <v>0.15501237336814622</v>
          </cell>
          <cell r="H168">
            <v>0</v>
          </cell>
          <cell r="I168">
            <v>0</v>
          </cell>
          <cell r="J168">
            <v>0</v>
          </cell>
          <cell r="K168">
            <v>0</v>
          </cell>
          <cell r="L168">
            <v>0</v>
          </cell>
          <cell r="M168">
            <v>0</v>
          </cell>
          <cell r="N168">
            <v>0.16901000000000002</v>
          </cell>
          <cell r="O168">
            <v>0.16901000000000002</v>
          </cell>
          <cell r="P168">
            <v>0</v>
          </cell>
          <cell r="Q168">
            <v>0</v>
          </cell>
          <cell r="R168">
            <v>0</v>
          </cell>
          <cell r="S168">
            <v>0</v>
          </cell>
          <cell r="T168">
            <v>0</v>
          </cell>
          <cell r="U168">
            <v>-0.16900999999999988</v>
          </cell>
          <cell r="V168">
            <v>0.15501237336814633</v>
          </cell>
        </row>
        <row r="169">
          <cell r="D169" t="str">
            <v>CHILE-Total - Salaries, Wage and Benefits, M$</v>
          </cell>
          <cell r="E169">
            <v>0</v>
          </cell>
          <cell r="F169">
            <v>0</v>
          </cell>
          <cell r="G169">
            <v>0</v>
          </cell>
          <cell r="H169">
            <v>0</v>
          </cell>
          <cell r="I169">
            <v>0</v>
          </cell>
          <cell r="J169">
            <v>0</v>
          </cell>
          <cell r="K169">
            <v>0</v>
          </cell>
          <cell r="L169">
            <v>0</v>
          </cell>
          <cell r="M169">
            <v>0</v>
          </cell>
          <cell r="N169">
            <v>9.9510000000000001E-2</v>
          </cell>
          <cell r="O169">
            <v>9.9510000000000001E-2</v>
          </cell>
          <cell r="P169">
            <v>0</v>
          </cell>
          <cell r="Q169">
            <v>0</v>
          </cell>
          <cell r="R169">
            <v>0</v>
          </cell>
          <cell r="S169">
            <v>0</v>
          </cell>
          <cell r="T169">
            <v>0</v>
          </cell>
          <cell r="U169">
            <v>0</v>
          </cell>
          <cell r="V169">
            <v>9.9510000000000001E-2</v>
          </cell>
        </row>
        <row r="170">
          <cell r="D170" t="str">
            <v>CHILE-Total - XOM Employee SWB, M$</v>
          </cell>
          <cell r="E170">
            <v>0</v>
          </cell>
          <cell r="F170">
            <v>0</v>
          </cell>
          <cell r="G170">
            <v>0</v>
          </cell>
          <cell r="H170">
            <v>0</v>
          </cell>
          <cell r="I170">
            <v>0</v>
          </cell>
          <cell r="J170">
            <v>0</v>
          </cell>
          <cell r="K170">
            <v>0</v>
          </cell>
          <cell r="L170">
            <v>0</v>
          </cell>
          <cell r="M170">
            <v>0</v>
          </cell>
          <cell r="N170">
            <v>9.9510000000000001E-2</v>
          </cell>
          <cell r="O170">
            <v>9.9510000000000001E-2</v>
          </cell>
          <cell r="P170">
            <v>0</v>
          </cell>
          <cell r="Q170">
            <v>0</v>
          </cell>
          <cell r="R170">
            <v>0</v>
          </cell>
          <cell r="S170">
            <v>0</v>
          </cell>
          <cell r="T170">
            <v>0</v>
          </cell>
          <cell r="U170">
            <v>0</v>
          </cell>
          <cell r="V170">
            <v>9.9510000000000001E-2</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3.5000000000000003E-2</v>
          </cell>
          <cell r="O172">
            <v>3.5000000000000003E-2</v>
          </cell>
          <cell r="P172">
            <v>0</v>
          </cell>
          <cell r="Q172">
            <v>0</v>
          </cell>
          <cell r="R172">
            <v>0</v>
          </cell>
          <cell r="S172">
            <v>0</v>
          </cell>
          <cell r="T172">
            <v>0</v>
          </cell>
          <cell r="U172">
            <v>0</v>
          </cell>
          <cell r="V172">
            <v>3.5000000000000003E-2</v>
          </cell>
        </row>
        <row r="173">
          <cell r="D173" t="str">
            <v>CHILE-Total - Training Expenses, M$</v>
          </cell>
          <cell r="E173">
            <v>0</v>
          </cell>
          <cell r="F173">
            <v>0</v>
          </cell>
          <cell r="G173">
            <v>0</v>
          </cell>
          <cell r="H173">
            <v>0</v>
          </cell>
          <cell r="I173">
            <v>0</v>
          </cell>
          <cell r="J173">
            <v>0</v>
          </cell>
          <cell r="K173">
            <v>0</v>
          </cell>
          <cell r="L173">
            <v>0</v>
          </cell>
          <cell r="M173">
            <v>0</v>
          </cell>
          <cell r="N173">
            <v>5.0000000000000001E-3</v>
          </cell>
          <cell r="O173">
            <v>5.0000000000000001E-3</v>
          </cell>
          <cell r="P173">
            <v>0</v>
          </cell>
          <cell r="Q173">
            <v>0</v>
          </cell>
          <cell r="R173">
            <v>0</v>
          </cell>
          <cell r="S173">
            <v>0</v>
          </cell>
          <cell r="T173">
            <v>0</v>
          </cell>
          <cell r="U173">
            <v>0</v>
          </cell>
          <cell r="V173">
            <v>5.0000000000000001E-3</v>
          </cell>
        </row>
        <row r="174">
          <cell r="D174" t="str">
            <v>CHILE-Total - Consultancy/Professional Fees, M$</v>
          </cell>
          <cell r="E174">
            <v>0.12818512532637075</v>
          </cell>
          <cell r="F174">
            <v>0</v>
          </cell>
          <cell r="G174">
            <v>0.12818512532637075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0.12818512532637075</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3.7784856396866833E-4</v>
          </cell>
          <cell r="F178">
            <v>0</v>
          </cell>
          <cell r="G178">
            <v>3.7784856396866833E-4</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3.7784856396866833E-4</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2.9499999999999998E-2</v>
          </cell>
          <cell r="O179">
            <v>2.9499999999999998E-2</v>
          </cell>
          <cell r="P179">
            <v>0</v>
          </cell>
          <cell r="Q179">
            <v>0</v>
          </cell>
          <cell r="R179">
            <v>0</v>
          </cell>
          <cell r="S179">
            <v>0</v>
          </cell>
          <cell r="T179">
            <v>0</v>
          </cell>
          <cell r="U179">
            <v>0</v>
          </cell>
          <cell r="V179">
            <v>2.9499999999999998E-2</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2.6449399477806796E-2</v>
          </cell>
          <cell r="F181">
            <v>0</v>
          </cell>
          <cell r="G181">
            <v>2.6449399477806796E-2</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2.6449399477806796E-2</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-0.16900999999999988</v>
          </cell>
          <cell r="V182">
            <v>-0.16900999999999988</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4.5452239762187494</v>
          </cell>
          <cell r="F186">
            <v>3.6389422021105302</v>
          </cell>
          <cell r="G186">
            <v>8.1841661783292778</v>
          </cell>
          <cell r="H186">
            <v>1.6999353456267416</v>
          </cell>
          <cell r="I186">
            <v>0</v>
          </cell>
          <cell r="J186">
            <v>0.4947862066891705</v>
          </cell>
          <cell r="K186">
            <v>0.12371892616866186</v>
          </cell>
          <cell r="L186">
            <v>0.61850513285783248</v>
          </cell>
          <cell r="M186">
            <v>7.383829076409282</v>
          </cell>
          <cell r="N186">
            <v>6.7709610059482395E-2</v>
          </cell>
          <cell r="O186">
            <v>7.4515386864687647</v>
          </cell>
          <cell r="P186">
            <v>0.86098906877693937</v>
          </cell>
          <cell r="Q186">
            <v>8.500863540054554E-3</v>
          </cell>
          <cell r="R186">
            <v>3.630222129867719E-2</v>
          </cell>
          <cell r="S186">
            <v>0</v>
          </cell>
          <cell r="T186">
            <v>4.4803084838731744E-2</v>
          </cell>
          <cell r="U186">
            <v>-0.14105506033333282</v>
          </cell>
          <cell r="V186">
            <v>18.718882436564957</v>
          </cell>
        </row>
        <row r="187">
          <cell r="D187" t="str">
            <v>COLOMBIA-Total - Salaries, Wage and Benefits, M$</v>
          </cell>
          <cell r="E187">
            <v>1.1199984390243904</v>
          </cell>
          <cell r="F187">
            <v>0.60363347839691994</v>
          </cell>
          <cell r="G187">
            <v>1.7236319174213106</v>
          </cell>
          <cell r="H187">
            <v>1.1671493854622503</v>
          </cell>
          <cell r="I187">
            <v>0</v>
          </cell>
          <cell r="J187">
            <v>0.23157368565398373</v>
          </cell>
          <cell r="K187">
            <v>0.05</v>
          </cell>
          <cell r="L187">
            <v>0.28157368565398372</v>
          </cell>
          <cell r="M187">
            <v>1.4528682320486876</v>
          </cell>
          <cell r="N187">
            <v>0</v>
          </cell>
          <cell r="O187">
            <v>1.4528682320486876</v>
          </cell>
          <cell r="P187">
            <v>0.2113208164422764</v>
          </cell>
          <cell r="Q187">
            <v>0</v>
          </cell>
          <cell r="R187">
            <v>0</v>
          </cell>
          <cell r="S187">
            <v>0</v>
          </cell>
          <cell r="T187">
            <v>0</v>
          </cell>
          <cell r="U187">
            <v>0.35880883967479671</v>
          </cell>
          <cell r="V187">
            <v>5.1953528767033053</v>
          </cell>
        </row>
        <row r="188">
          <cell r="D188" t="str">
            <v>COLOMBIA-Total - XOM Employee SWB, M$</v>
          </cell>
          <cell r="E188">
            <v>1.1199984390243904</v>
          </cell>
          <cell r="F188">
            <v>0.58355418636221656</v>
          </cell>
          <cell r="G188">
            <v>1.7035526253866071</v>
          </cell>
          <cell r="H188">
            <v>1.1671493854622503</v>
          </cell>
          <cell r="I188">
            <v>0</v>
          </cell>
          <cell r="J188">
            <v>0.23157368565398373</v>
          </cell>
          <cell r="K188">
            <v>0.05</v>
          </cell>
          <cell r="L188">
            <v>0.28157368565398372</v>
          </cell>
          <cell r="M188">
            <v>1.2254685323533507</v>
          </cell>
          <cell r="N188">
            <v>0</v>
          </cell>
          <cell r="O188">
            <v>1.2254685323533507</v>
          </cell>
          <cell r="P188">
            <v>0.19432460824715445</v>
          </cell>
          <cell r="Q188">
            <v>0</v>
          </cell>
          <cell r="R188">
            <v>0</v>
          </cell>
          <cell r="S188">
            <v>0</v>
          </cell>
          <cell r="T188">
            <v>0</v>
          </cell>
          <cell r="U188">
            <v>0.35880883967479671</v>
          </cell>
          <cell r="V188">
            <v>4.9308776767781435</v>
          </cell>
        </row>
        <row r="189">
          <cell r="D189" t="str">
            <v>COLOMBIA-Total - Contract Employee SWB, M$</v>
          </cell>
          <cell r="E189">
            <v>0</v>
          </cell>
          <cell r="F189">
            <v>2.0079292034703412E-2</v>
          </cell>
          <cell r="G189">
            <v>2.0079292034703412E-2</v>
          </cell>
          <cell r="H189">
            <v>0</v>
          </cell>
          <cell r="I189">
            <v>0</v>
          </cell>
          <cell r="J189">
            <v>0</v>
          </cell>
          <cell r="K189">
            <v>0</v>
          </cell>
          <cell r="L189">
            <v>0</v>
          </cell>
          <cell r="M189">
            <v>0.22739969969533685</v>
          </cell>
          <cell r="N189">
            <v>0</v>
          </cell>
          <cell r="O189">
            <v>0.22739969969533685</v>
          </cell>
          <cell r="P189">
            <v>1.6996208195121952E-2</v>
          </cell>
          <cell r="Q189">
            <v>0</v>
          </cell>
          <cell r="R189">
            <v>0</v>
          </cell>
          <cell r="S189">
            <v>0</v>
          </cell>
          <cell r="T189">
            <v>0</v>
          </cell>
          <cell r="U189">
            <v>0</v>
          </cell>
          <cell r="V189">
            <v>0.26447519992516222</v>
          </cell>
        </row>
        <row r="190">
          <cell r="D190" t="str">
            <v>COLOMBIA-Total - Employee Expenses (T&amp;E), M$</v>
          </cell>
          <cell r="E190">
            <v>8.9406943498978875E-2</v>
          </cell>
          <cell r="F190">
            <v>0.11769431039053137</v>
          </cell>
          <cell r="G190">
            <v>0.20710125388951023</v>
          </cell>
          <cell r="H190">
            <v>6.4125005517500652E-2</v>
          </cell>
          <cell r="I190">
            <v>0</v>
          </cell>
          <cell r="J190">
            <v>5.9295825051055148E-3</v>
          </cell>
          <cell r="K190">
            <v>6.9000684350317129E-2</v>
          </cell>
          <cell r="L190">
            <v>7.4930266855422645E-2</v>
          </cell>
          <cell r="M190">
            <v>0.24480319283919869</v>
          </cell>
          <cell r="N190">
            <v>7.0000000000000001E-3</v>
          </cell>
          <cell r="O190">
            <v>0.25180319283919866</v>
          </cell>
          <cell r="P190">
            <v>0.26756365515459496</v>
          </cell>
          <cell r="Q190">
            <v>0</v>
          </cell>
          <cell r="R190">
            <v>0</v>
          </cell>
          <cell r="S190">
            <v>0</v>
          </cell>
          <cell r="T190">
            <v>0</v>
          </cell>
          <cell r="U190">
            <v>0.11330805463414634</v>
          </cell>
          <cell r="V190">
            <v>0.97883142889037345</v>
          </cell>
        </row>
        <row r="191">
          <cell r="D191" t="str">
            <v>COLOMBIA-Total - Training Expenses, M$</v>
          </cell>
          <cell r="E191">
            <v>5.6949073170731697E-3</v>
          </cell>
          <cell r="F191">
            <v>8.7385270614275798E-2</v>
          </cell>
          <cell r="G191">
            <v>9.308017793134897E-2</v>
          </cell>
          <cell r="H191">
            <v>1.2661406473458344E-2</v>
          </cell>
          <cell r="I191">
            <v>0</v>
          </cell>
          <cell r="J191">
            <v>1.2463886009756097E-2</v>
          </cell>
          <cell r="K191">
            <v>4.5796699765787709E-19</v>
          </cell>
          <cell r="L191">
            <v>1.2463886009756097E-2</v>
          </cell>
          <cell r="M191">
            <v>3.3760990354056393E-2</v>
          </cell>
          <cell r="N191">
            <v>2E-3</v>
          </cell>
          <cell r="O191">
            <v>3.5760990354056395E-2</v>
          </cell>
          <cell r="P191">
            <v>2.8299601158682922E-2</v>
          </cell>
          <cell r="Q191">
            <v>0</v>
          </cell>
          <cell r="R191">
            <v>0</v>
          </cell>
          <cell r="S191">
            <v>0</v>
          </cell>
          <cell r="T191">
            <v>0</v>
          </cell>
          <cell r="U191">
            <v>0</v>
          </cell>
          <cell r="V191">
            <v>0.18226606192730271</v>
          </cell>
        </row>
        <row r="192">
          <cell r="D192" t="str">
            <v>COLOMBIA-Total - Consultancy/Professional Fees, M$</v>
          </cell>
          <cell r="E192">
            <v>0.22305053658536586</v>
          </cell>
          <cell r="F192">
            <v>1.1605487588005108E-2</v>
          </cell>
          <cell r="G192">
            <v>0.23465602417337098</v>
          </cell>
          <cell r="H192">
            <v>0</v>
          </cell>
          <cell r="I192">
            <v>0</v>
          </cell>
          <cell r="J192">
            <v>0</v>
          </cell>
          <cell r="K192">
            <v>0</v>
          </cell>
          <cell r="L192">
            <v>0</v>
          </cell>
          <cell r="M192">
            <v>0</v>
          </cell>
          <cell r="N192">
            <v>0</v>
          </cell>
          <cell r="O192">
            <v>0</v>
          </cell>
          <cell r="P192">
            <v>1.1873248509189926E-2</v>
          </cell>
          <cell r="Q192">
            <v>0</v>
          </cell>
          <cell r="R192">
            <v>0</v>
          </cell>
          <cell r="S192">
            <v>0</v>
          </cell>
          <cell r="T192">
            <v>0</v>
          </cell>
          <cell r="U192">
            <v>0</v>
          </cell>
          <cell r="V192">
            <v>0.24652927268256089</v>
          </cell>
        </row>
        <row r="193">
          <cell r="D193" t="str">
            <v>COLOMBIA-Advertising and Promotions, M$</v>
          </cell>
          <cell r="E193">
            <v>0</v>
          </cell>
          <cell r="F193">
            <v>0</v>
          </cell>
          <cell r="G193">
            <v>0</v>
          </cell>
          <cell r="H193">
            <v>0</v>
          </cell>
          <cell r="I193">
            <v>0</v>
          </cell>
          <cell r="J193">
            <v>0</v>
          </cell>
          <cell r="K193">
            <v>0</v>
          </cell>
          <cell r="L193">
            <v>0</v>
          </cell>
          <cell r="M193">
            <v>2.8478786622439025</v>
          </cell>
          <cell r="N193">
            <v>0</v>
          </cell>
          <cell r="O193">
            <v>2.8478786622439025</v>
          </cell>
          <cell r="P193">
            <v>0</v>
          </cell>
          <cell r="Q193">
            <v>0</v>
          </cell>
          <cell r="R193">
            <v>0</v>
          </cell>
          <cell r="S193">
            <v>0</v>
          </cell>
          <cell r="T193">
            <v>0</v>
          </cell>
          <cell r="U193">
            <v>0</v>
          </cell>
          <cell r="V193">
            <v>2.8478786622439025</v>
          </cell>
        </row>
        <row r="194">
          <cell r="D194" t="str">
            <v>COLOMBIA-Maintenance and Repairs, M$</v>
          </cell>
          <cell r="E194">
            <v>0.24203356097560974</v>
          </cell>
          <cell r="F194">
            <v>3.7548898613920328E-2</v>
          </cell>
          <cell r="G194">
            <v>0.2795824595895301</v>
          </cell>
          <cell r="H194">
            <v>0</v>
          </cell>
          <cell r="I194">
            <v>0</v>
          </cell>
          <cell r="J194">
            <v>6.4419347154471548E-2</v>
          </cell>
          <cell r="K194">
            <v>0</v>
          </cell>
          <cell r="L194">
            <v>6.4419347154471548E-2</v>
          </cell>
          <cell r="M194">
            <v>0</v>
          </cell>
          <cell r="N194">
            <v>2E-3</v>
          </cell>
          <cell r="O194">
            <v>2E-3</v>
          </cell>
          <cell r="P194">
            <v>0</v>
          </cell>
          <cell r="Q194">
            <v>0</v>
          </cell>
          <cell r="R194">
            <v>0</v>
          </cell>
          <cell r="S194">
            <v>0</v>
          </cell>
          <cell r="T194">
            <v>0</v>
          </cell>
          <cell r="U194">
            <v>0</v>
          </cell>
          <cell r="V194">
            <v>0.34600180674400166</v>
          </cell>
        </row>
        <row r="195">
          <cell r="D195" t="str">
            <v>COLOMBIA-Depreciation, M$</v>
          </cell>
          <cell r="E195">
            <v>1.4429999999999998</v>
          </cell>
          <cell r="F195">
            <v>0.21927994608447801</v>
          </cell>
          <cell r="G195">
            <v>1.6622799460844779</v>
          </cell>
          <cell r="H195">
            <v>2.4599999999999997E-2</v>
          </cell>
          <cell r="I195">
            <v>0</v>
          </cell>
          <cell r="J195">
            <v>9.0525385365853653E-2</v>
          </cell>
          <cell r="K195">
            <v>0</v>
          </cell>
          <cell r="L195">
            <v>9.0525385365853653E-2</v>
          </cell>
          <cell r="M195">
            <v>0.62001041237563559</v>
          </cell>
          <cell r="N195">
            <v>2E-3</v>
          </cell>
          <cell r="O195">
            <v>0.62201041237563559</v>
          </cell>
          <cell r="P195">
            <v>0</v>
          </cell>
          <cell r="Q195">
            <v>0</v>
          </cell>
          <cell r="R195">
            <v>0</v>
          </cell>
          <cell r="S195">
            <v>0</v>
          </cell>
          <cell r="T195">
            <v>0</v>
          </cell>
          <cell r="U195">
            <v>7.0000000000000001E-3</v>
          </cell>
          <cell r="V195">
            <v>2.406415743825967</v>
          </cell>
        </row>
        <row r="196">
          <cell r="D196" t="str">
            <v>COLOMBIA-Energy, M$</v>
          </cell>
          <cell r="E196">
            <v>0.16135570731707316</v>
          </cell>
          <cell r="F196">
            <v>0</v>
          </cell>
          <cell r="G196">
            <v>0.16135570731707316</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0.16135570731707316</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0.3266791041330282</v>
          </cell>
          <cell r="N197">
            <v>2.375E-2</v>
          </cell>
          <cell r="O197">
            <v>0.35042910413302819</v>
          </cell>
          <cell r="P197">
            <v>0</v>
          </cell>
          <cell r="Q197">
            <v>0</v>
          </cell>
          <cell r="R197">
            <v>0</v>
          </cell>
          <cell r="S197">
            <v>0</v>
          </cell>
          <cell r="T197">
            <v>0</v>
          </cell>
          <cell r="U197">
            <v>0</v>
          </cell>
          <cell r="V197">
            <v>0.35042910413302819</v>
          </cell>
        </row>
        <row r="198">
          <cell r="D198" t="str">
            <v>COLOMBIA-Freight Cost, M$</v>
          </cell>
          <cell r="E198">
            <v>0</v>
          </cell>
          <cell r="F198">
            <v>1.139930613111384</v>
          </cell>
          <cell r="G198">
            <v>1.139930613111384</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1.139930613111384</v>
          </cell>
        </row>
        <row r="199">
          <cell r="D199" t="str">
            <v>COLOMBIA-Other Direct OPEX, M$</v>
          </cell>
          <cell r="E199">
            <v>1.2606838815002581</v>
          </cell>
          <cell r="F199">
            <v>1.4218641973110155</v>
          </cell>
          <cell r="G199">
            <v>2.6825480788112737</v>
          </cell>
          <cell r="H199">
            <v>0.43139954817353249</v>
          </cell>
          <cell r="I199">
            <v>0</v>
          </cell>
          <cell r="J199">
            <v>8.9874319999999994E-2</v>
          </cell>
          <cell r="K199">
            <v>4.7182418183447173E-3</v>
          </cell>
          <cell r="L199">
            <v>9.4592561818344717E-2</v>
          </cell>
          <cell r="M199">
            <v>1.8578284824147735</v>
          </cell>
          <cell r="N199">
            <v>3.0959610059482397E-2</v>
          </cell>
          <cell r="O199">
            <v>1.8887880924742559</v>
          </cell>
          <cell r="P199">
            <v>0.34193174751219513</v>
          </cell>
          <cell r="Q199">
            <v>8.500863540054554E-3</v>
          </cell>
          <cell r="R199">
            <v>3.630222129867719E-2</v>
          </cell>
          <cell r="S199">
            <v>0</v>
          </cell>
          <cell r="T199">
            <v>4.4803084838731744E-2</v>
          </cell>
          <cell r="U199">
            <v>2.5000000000000001E-2</v>
          </cell>
          <cell r="V199">
            <v>5.5090631136283337</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-0.64517195464227584</v>
          </cell>
          <cell r="V200">
            <v>-0.64517195464227584</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0.73763782380064091</v>
          </cell>
          <cell r="G204">
            <v>0.73763782380064091</v>
          </cell>
          <cell r="H204">
            <v>0</v>
          </cell>
          <cell r="I204">
            <v>0</v>
          </cell>
          <cell r="J204">
            <v>0</v>
          </cell>
          <cell r="K204">
            <v>0</v>
          </cell>
          <cell r="L204">
            <v>0</v>
          </cell>
          <cell r="M204">
            <v>0.16159628571428572</v>
          </cell>
          <cell r="N204">
            <v>-0.20585342857142858</v>
          </cell>
          <cell r="O204">
            <v>-4.4257142857142856E-2</v>
          </cell>
          <cell r="P204">
            <v>0</v>
          </cell>
          <cell r="Q204">
            <v>0</v>
          </cell>
          <cell r="R204">
            <v>0</v>
          </cell>
          <cell r="S204">
            <v>0</v>
          </cell>
          <cell r="T204">
            <v>0</v>
          </cell>
          <cell r="U204">
            <v>-2.8020608330935781E-2</v>
          </cell>
          <cell r="V204">
            <v>0.66536007261256236</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0.73763782380064091</v>
          </cell>
          <cell r="G217">
            <v>0.73763782380064091</v>
          </cell>
          <cell r="H217">
            <v>0</v>
          </cell>
          <cell r="I217">
            <v>0</v>
          </cell>
          <cell r="J217">
            <v>0</v>
          </cell>
          <cell r="K217">
            <v>0</v>
          </cell>
          <cell r="L217">
            <v>0</v>
          </cell>
          <cell r="M217">
            <v>0.16159628571428572</v>
          </cell>
          <cell r="N217">
            <v>-0.20585342857142858</v>
          </cell>
          <cell r="O217">
            <v>-4.4257142857142856E-2</v>
          </cell>
          <cell r="P217">
            <v>0</v>
          </cell>
          <cell r="Q217">
            <v>0</v>
          </cell>
          <cell r="R217">
            <v>0</v>
          </cell>
          <cell r="S217">
            <v>0</v>
          </cell>
          <cell r="T217">
            <v>0</v>
          </cell>
          <cell r="U217">
            <v>0</v>
          </cell>
          <cell r="V217">
            <v>0.69338068094349814</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-2.8020608330935781E-2</v>
          </cell>
          <cell r="V218">
            <v>-2.8020608330935781E-2</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0.24314633455065171</v>
          </cell>
          <cell r="G222">
            <v>0.24314633455065171</v>
          </cell>
          <cell r="H222">
            <v>0.12557156059999997</v>
          </cell>
          <cell r="I222">
            <v>0</v>
          </cell>
          <cell r="J222">
            <v>0</v>
          </cell>
          <cell r="K222">
            <v>0</v>
          </cell>
          <cell r="L222">
            <v>0</v>
          </cell>
          <cell r="M222">
            <v>1.33975</v>
          </cell>
          <cell r="N222">
            <v>5.4449999999999998E-2</v>
          </cell>
          <cell r="O222">
            <v>1.3942000000000001</v>
          </cell>
          <cell r="P222">
            <v>0.15633000000000002</v>
          </cell>
          <cell r="Q222">
            <v>0</v>
          </cell>
          <cell r="R222">
            <v>1.52E-2</v>
          </cell>
          <cell r="S222">
            <v>0</v>
          </cell>
          <cell r="T222">
            <v>1.52E-2</v>
          </cell>
          <cell r="U222">
            <v>-0.18974236965286773</v>
          </cell>
          <cell r="V222">
            <v>1.7447055254977841</v>
          </cell>
        </row>
        <row r="223">
          <cell r="D223" t="str">
            <v>ECUADOR-Total - Salaries, Wage and Benefits, M$</v>
          </cell>
          <cell r="E223">
            <v>0</v>
          </cell>
          <cell r="F223">
            <v>0</v>
          </cell>
          <cell r="G223">
            <v>0</v>
          </cell>
          <cell r="H223">
            <v>9.6377520999999994E-2</v>
          </cell>
          <cell r="I223">
            <v>0</v>
          </cell>
          <cell r="J223">
            <v>0</v>
          </cell>
          <cell r="K223">
            <v>0</v>
          </cell>
          <cell r="L223">
            <v>0</v>
          </cell>
          <cell r="M223">
            <v>0.26874999999999999</v>
          </cell>
          <cell r="N223">
            <v>3.0000000000000001E-3</v>
          </cell>
          <cell r="O223">
            <v>0.27174999999999999</v>
          </cell>
          <cell r="P223">
            <v>0</v>
          </cell>
          <cell r="Q223">
            <v>0</v>
          </cell>
          <cell r="R223">
            <v>0</v>
          </cell>
          <cell r="S223">
            <v>0</v>
          </cell>
          <cell r="T223">
            <v>0</v>
          </cell>
          <cell r="U223">
            <v>0</v>
          </cell>
          <cell r="V223">
            <v>0.36812752100000001</v>
          </cell>
        </row>
        <row r="224">
          <cell r="D224" t="str">
            <v>ECUADOR-Total - XOM Employee SWB, M$</v>
          </cell>
          <cell r="E224">
            <v>0</v>
          </cell>
          <cell r="F224">
            <v>0</v>
          </cell>
          <cell r="G224">
            <v>0</v>
          </cell>
          <cell r="H224">
            <v>9.6377520999999994E-2</v>
          </cell>
          <cell r="I224">
            <v>0</v>
          </cell>
          <cell r="J224">
            <v>0</v>
          </cell>
          <cell r="K224">
            <v>0</v>
          </cell>
          <cell r="L224">
            <v>0</v>
          </cell>
          <cell r="M224">
            <v>0.26874999999999999</v>
          </cell>
          <cell r="N224">
            <v>3.0000000000000001E-3</v>
          </cell>
          <cell r="O224">
            <v>0.27174999999999999</v>
          </cell>
          <cell r="P224">
            <v>0</v>
          </cell>
          <cell r="Q224">
            <v>0</v>
          </cell>
          <cell r="R224">
            <v>0</v>
          </cell>
          <cell r="S224">
            <v>0</v>
          </cell>
          <cell r="T224">
            <v>0</v>
          </cell>
          <cell r="U224">
            <v>0</v>
          </cell>
          <cell r="V224">
            <v>0.36812752100000001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6.2858799999999998E-3</v>
          </cell>
          <cell r="I226">
            <v>0</v>
          </cell>
          <cell r="J226">
            <v>0</v>
          </cell>
          <cell r="K226">
            <v>0</v>
          </cell>
          <cell r="L226">
            <v>0</v>
          </cell>
          <cell r="M226">
            <v>7.9000000000000001E-2</v>
          </cell>
          <cell r="N226">
            <v>1E-3</v>
          </cell>
          <cell r="O226">
            <v>0.08</v>
          </cell>
          <cell r="P226">
            <v>0</v>
          </cell>
          <cell r="Q226">
            <v>0</v>
          </cell>
          <cell r="R226">
            <v>0</v>
          </cell>
          <cell r="S226">
            <v>0</v>
          </cell>
          <cell r="T226">
            <v>0</v>
          </cell>
          <cell r="U226">
            <v>0</v>
          </cell>
          <cell r="V226">
            <v>8.6285879999999995E-2</v>
          </cell>
        </row>
        <row r="227">
          <cell r="D227" t="str">
            <v>ECUADOR-Total - Training Expenses, M$</v>
          </cell>
          <cell r="E227">
            <v>0</v>
          </cell>
          <cell r="F227">
            <v>0</v>
          </cell>
          <cell r="G227">
            <v>0</v>
          </cell>
          <cell r="H227">
            <v>3.2422069999999996E-3</v>
          </cell>
          <cell r="I227">
            <v>0</v>
          </cell>
          <cell r="J227">
            <v>0</v>
          </cell>
          <cell r="K227">
            <v>0</v>
          </cell>
          <cell r="L227">
            <v>0</v>
          </cell>
          <cell r="M227">
            <v>0</v>
          </cell>
          <cell r="N227">
            <v>0</v>
          </cell>
          <cell r="O227">
            <v>0</v>
          </cell>
          <cell r="P227">
            <v>9.3299999999999998E-3</v>
          </cell>
          <cell r="Q227">
            <v>0</v>
          </cell>
          <cell r="R227">
            <v>0</v>
          </cell>
          <cell r="S227">
            <v>0</v>
          </cell>
          <cell r="T227">
            <v>0</v>
          </cell>
          <cell r="U227">
            <v>0</v>
          </cell>
          <cell r="V227">
            <v>1.2572206999999998E-2</v>
          </cell>
        </row>
        <row r="228">
          <cell r="D228" t="str">
            <v>ECUADOR-Total - Consultancy/Professional Fees, M$</v>
          </cell>
          <cell r="E228">
            <v>0</v>
          </cell>
          <cell r="F228">
            <v>0</v>
          </cell>
          <cell r="G228">
            <v>0</v>
          </cell>
          <cell r="H228">
            <v>0</v>
          </cell>
          <cell r="I228">
            <v>0</v>
          </cell>
          <cell r="J228">
            <v>0</v>
          </cell>
          <cell r="K228">
            <v>0</v>
          </cell>
          <cell r="L228">
            <v>0</v>
          </cell>
          <cell r="M228">
            <v>1.4999999999999999E-2</v>
          </cell>
          <cell r="N228">
            <v>0</v>
          </cell>
          <cell r="O228">
            <v>1.4999999999999999E-2</v>
          </cell>
          <cell r="P228">
            <v>1.2000000000000002E-2</v>
          </cell>
          <cell r="Q228">
            <v>0</v>
          </cell>
          <cell r="R228">
            <v>0</v>
          </cell>
          <cell r="S228">
            <v>0</v>
          </cell>
          <cell r="T228">
            <v>0</v>
          </cell>
          <cell r="U228">
            <v>0</v>
          </cell>
          <cell r="V228">
            <v>2.7000000000000003E-2</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5.0000000000000001E-3</v>
          </cell>
          <cell r="N230">
            <v>0</v>
          </cell>
          <cell r="O230">
            <v>5.0000000000000001E-3</v>
          </cell>
          <cell r="P230">
            <v>0</v>
          </cell>
          <cell r="Q230">
            <v>0</v>
          </cell>
          <cell r="R230">
            <v>0</v>
          </cell>
          <cell r="S230">
            <v>0</v>
          </cell>
          <cell r="T230">
            <v>0</v>
          </cell>
          <cell r="U230">
            <v>0</v>
          </cell>
          <cell r="V230">
            <v>5.0000000000000001E-3</v>
          </cell>
        </row>
        <row r="231">
          <cell r="D231" t="str">
            <v>ECUADOR-Depreciation, M$</v>
          </cell>
          <cell r="E231">
            <v>0</v>
          </cell>
          <cell r="F231">
            <v>0</v>
          </cell>
          <cell r="G231">
            <v>0</v>
          </cell>
          <cell r="H231">
            <v>1.8656519999999998E-3</v>
          </cell>
          <cell r="I231">
            <v>0</v>
          </cell>
          <cell r="J231">
            <v>0</v>
          </cell>
          <cell r="K231">
            <v>0</v>
          </cell>
          <cell r="L231">
            <v>0</v>
          </cell>
          <cell r="M231">
            <v>0.249</v>
          </cell>
          <cell r="N231">
            <v>3.5000000000000001E-3</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2.375E-2</v>
          </cell>
          <cell r="O233">
            <v>2.375E-2</v>
          </cell>
          <cell r="P233">
            <v>0</v>
          </cell>
          <cell r="Q233">
            <v>0</v>
          </cell>
          <cell r="R233">
            <v>0</v>
          </cell>
          <cell r="S233">
            <v>0</v>
          </cell>
          <cell r="T233">
            <v>0</v>
          </cell>
          <cell r="U233">
            <v>0</v>
          </cell>
          <cell r="V233">
            <v>2.375E-2</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0.1431463345506517</v>
          </cell>
          <cell r="G235">
            <v>0.1431463345506517</v>
          </cell>
          <cell r="H235">
            <v>1.7800300599999999E-2</v>
          </cell>
          <cell r="I235">
            <v>0</v>
          </cell>
          <cell r="J235">
            <v>0</v>
          </cell>
          <cell r="K235">
            <v>0</v>
          </cell>
          <cell r="L235">
            <v>0</v>
          </cell>
          <cell r="M235">
            <v>0.46300000000000002</v>
          </cell>
          <cell r="N235">
            <v>2.3199999999999998E-2</v>
          </cell>
          <cell r="O235">
            <v>0.48620000000000002</v>
          </cell>
          <cell r="P235">
            <v>0.13500000000000001</v>
          </cell>
          <cell r="Q235">
            <v>0</v>
          </cell>
          <cell r="R235">
            <v>1.52E-2</v>
          </cell>
          <cell r="S235">
            <v>0</v>
          </cell>
          <cell r="T235">
            <v>1.52E-2</v>
          </cell>
          <cell r="U235">
            <v>0</v>
          </cell>
          <cell r="V235">
            <v>0.79734663515065174</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-0.18974236965286773</v>
          </cell>
          <cell r="V236">
            <v>-0.18974236965286773</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9.1560206577874434E-2</v>
          </cell>
          <cell r="F240">
            <v>4.4806736781734163E-2</v>
          </cell>
          <cell r="G240">
            <v>0.13636694335960861</v>
          </cell>
          <cell r="H240">
            <v>0</v>
          </cell>
          <cell r="I240">
            <v>0</v>
          </cell>
          <cell r="J240">
            <v>0</v>
          </cell>
          <cell r="K240">
            <v>0</v>
          </cell>
          <cell r="L240">
            <v>0</v>
          </cell>
          <cell r="M240">
            <v>3.2195478682095283E-2</v>
          </cell>
          <cell r="N240">
            <v>0</v>
          </cell>
          <cell r="O240">
            <v>3.2195478682095283E-2</v>
          </cell>
          <cell r="P240">
            <v>0</v>
          </cell>
          <cell r="Q240">
            <v>0</v>
          </cell>
          <cell r="R240">
            <v>0</v>
          </cell>
          <cell r="S240">
            <v>0</v>
          </cell>
          <cell r="T240">
            <v>0</v>
          </cell>
          <cell r="U240">
            <v>-2.7755575615628914E-17</v>
          </cell>
          <cell r="V240">
            <v>0.16856242204170388</v>
          </cell>
        </row>
        <row r="241">
          <cell r="D241" t="str">
            <v>PARAGUAY-Total - Salaries, Wage and Benefits, M$</v>
          </cell>
          <cell r="E241">
            <v>9.1560206577874434E-2</v>
          </cell>
          <cell r="F241">
            <v>0</v>
          </cell>
          <cell r="G241">
            <v>9.1560206577874434E-2</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9.1560206577874434E-2</v>
          </cell>
        </row>
        <row r="242">
          <cell r="D242" t="str">
            <v>PARAGUAY-Total - XOM Employee SWB, M$</v>
          </cell>
          <cell r="E242">
            <v>9.1560206577874434E-2</v>
          </cell>
          <cell r="F242">
            <v>0</v>
          </cell>
          <cell r="G242">
            <v>9.1560206577874434E-2</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9.1560206577874434E-2</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8.806736781734166E-3</v>
          </cell>
          <cell r="G248">
            <v>8.806736781734166E-3</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8.806736781734166E-3</v>
          </cell>
        </row>
        <row r="249">
          <cell r="D249" t="str">
            <v>PARAGUAY-Depreciation, M$</v>
          </cell>
          <cell r="E249">
            <v>0</v>
          </cell>
          <cell r="F249">
            <v>3.5999999999999997E-2</v>
          </cell>
          <cell r="G249">
            <v>3.5999999999999997E-2</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3.5999999999999997E-2</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3.1999999999999994E-2</v>
          </cell>
          <cell r="N251">
            <v>0</v>
          </cell>
          <cell r="O251">
            <v>3.1999999999999994E-2</v>
          </cell>
          <cell r="P251">
            <v>0</v>
          </cell>
          <cell r="Q251">
            <v>0</v>
          </cell>
          <cell r="R251">
            <v>0</v>
          </cell>
          <cell r="S251">
            <v>0</v>
          </cell>
          <cell r="T251">
            <v>0</v>
          </cell>
          <cell r="U251">
            <v>0</v>
          </cell>
          <cell r="V251">
            <v>3.1999999999999994E-2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1.9547868209528985E-4</v>
          </cell>
          <cell r="N253">
            <v>0</v>
          </cell>
          <cell r="O253">
            <v>1.9547868209528985E-4</v>
          </cell>
          <cell r="P253">
            <v>0</v>
          </cell>
          <cell r="Q253">
            <v>0</v>
          </cell>
          <cell r="R253">
            <v>0</v>
          </cell>
          <cell r="S253">
            <v>0</v>
          </cell>
          <cell r="T253">
            <v>0</v>
          </cell>
          <cell r="U253">
            <v>0</v>
          </cell>
          <cell r="V253">
            <v>1.9547868209528985E-4</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-2.7755575615628914E-17</v>
          </cell>
          <cell r="V254">
            <v>-2.7755575615628914E-17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2.1693719797730662</v>
          </cell>
          <cell r="F258">
            <v>2.1425212528866799</v>
          </cell>
          <cell r="G258">
            <v>4.3118932326597452</v>
          </cell>
          <cell r="H258">
            <v>0.19219882354328055</v>
          </cell>
          <cell r="I258">
            <v>0</v>
          </cell>
          <cell r="J258">
            <v>0.45927666285714275</v>
          </cell>
          <cell r="K258">
            <v>0</v>
          </cell>
          <cell r="L258">
            <v>0.45927666285714275</v>
          </cell>
          <cell r="M258">
            <v>3.0845349485714286</v>
          </cell>
          <cell r="N258">
            <v>0.16675000000000001</v>
          </cell>
          <cell r="O258">
            <v>3.2512849485714286</v>
          </cell>
          <cell r="P258">
            <v>0.3094209643353254</v>
          </cell>
          <cell r="Q258">
            <v>0</v>
          </cell>
          <cell r="R258">
            <v>0</v>
          </cell>
          <cell r="S258">
            <v>0</v>
          </cell>
          <cell r="T258">
            <v>0</v>
          </cell>
          <cell r="U258">
            <v>-0.17278234721796226</v>
          </cell>
          <cell r="V258">
            <v>8.3512922847489612</v>
          </cell>
        </row>
        <row r="259">
          <cell r="D259" t="str">
            <v>PERU-Total - Salaries, Wage and Benefits, M$</v>
          </cell>
          <cell r="E259">
            <v>1.0504484571428572</v>
          </cell>
          <cell r="F259">
            <v>0.38439664201142859</v>
          </cell>
          <cell r="G259">
            <v>1.4348450991542858</v>
          </cell>
          <cell r="H259">
            <v>0.10879366692571429</v>
          </cell>
          <cell r="I259">
            <v>0</v>
          </cell>
          <cell r="J259">
            <v>0.24470674285714278</v>
          </cell>
          <cell r="K259">
            <v>0</v>
          </cell>
          <cell r="L259">
            <v>0.24470674285714278</v>
          </cell>
          <cell r="M259">
            <v>0.9937481142857143</v>
          </cell>
          <cell r="N259">
            <v>8.2500000000000004E-2</v>
          </cell>
          <cell r="O259">
            <v>1.0762481142857143</v>
          </cell>
          <cell r="P259">
            <v>8.1071542857142839E-2</v>
          </cell>
          <cell r="Q259">
            <v>0</v>
          </cell>
          <cell r="R259">
            <v>0</v>
          </cell>
          <cell r="S259">
            <v>0</v>
          </cell>
          <cell r="T259">
            <v>0</v>
          </cell>
          <cell r="U259">
            <v>0</v>
          </cell>
          <cell r="V259">
            <v>2.9456651660800004</v>
          </cell>
        </row>
        <row r="260">
          <cell r="D260" t="str">
            <v>PERU-Total - XOM Employee SWB, M$</v>
          </cell>
          <cell r="E260">
            <v>1.0504484571428572</v>
          </cell>
          <cell r="F260">
            <v>0.38439664201142859</v>
          </cell>
          <cell r="G260">
            <v>1.4348450991542858</v>
          </cell>
          <cell r="H260">
            <v>9.6105154779428575E-2</v>
          </cell>
          <cell r="I260">
            <v>0</v>
          </cell>
          <cell r="J260">
            <v>0.24470674285714278</v>
          </cell>
          <cell r="K260">
            <v>0</v>
          </cell>
          <cell r="L260">
            <v>0.24470674285714278</v>
          </cell>
          <cell r="M260">
            <v>0.9738532571428572</v>
          </cell>
          <cell r="N260">
            <v>8.2500000000000004E-2</v>
          </cell>
          <cell r="O260">
            <v>1.0563532571428571</v>
          </cell>
          <cell r="P260">
            <v>8.1071542857142839E-2</v>
          </cell>
          <cell r="Q260">
            <v>0</v>
          </cell>
          <cell r="R260">
            <v>0</v>
          </cell>
          <cell r="S260">
            <v>0</v>
          </cell>
          <cell r="T260">
            <v>0</v>
          </cell>
          <cell r="U260">
            <v>0</v>
          </cell>
          <cell r="V260">
            <v>2.9130817967908573</v>
          </cell>
        </row>
        <row r="261">
          <cell r="D261" t="str">
            <v>PERU-Total - Contract Employee SWB, M$</v>
          </cell>
          <cell r="E261">
            <v>0</v>
          </cell>
          <cell r="F261">
            <v>0</v>
          </cell>
          <cell r="G261">
            <v>0</v>
          </cell>
          <cell r="H261">
            <v>1.2688512146285713E-2</v>
          </cell>
          <cell r="I261">
            <v>0</v>
          </cell>
          <cell r="J261">
            <v>0</v>
          </cell>
          <cell r="K261">
            <v>0</v>
          </cell>
          <cell r="L261">
            <v>0</v>
          </cell>
          <cell r="M261">
            <v>1.9894857142857141E-2</v>
          </cell>
          <cell r="N261">
            <v>0</v>
          </cell>
          <cell r="O261">
            <v>1.9894857142857141E-2</v>
          </cell>
          <cell r="P261">
            <v>0</v>
          </cell>
          <cell r="Q261">
            <v>0</v>
          </cell>
          <cell r="R261">
            <v>0</v>
          </cell>
          <cell r="S261">
            <v>0</v>
          </cell>
          <cell r="T261">
            <v>0</v>
          </cell>
          <cell r="U261">
            <v>0</v>
          </cell>
          <cell r="V261">
            <v>3.2583369289142856E-2</v>
          </cell>
        </row>
        <row r="262">
          <cell r="D262" t="str">
            <v>PERU-Total - Employee Expenses (T&amp;E), M$</v>
          </cell>
          <cell r="E262">
            <v>4.9879656160458467E-3</v>
          </cell>
          <cell r="F262">
            <v>8.1512186865329517E-2</v>
          </cell>
          <cell r="G262">
            <v>8.6500152481375367E-2</v>
          </cell>
          <cell r="H262">
            <v>1.7554415667163328E-2</v>
          </cell>
          <cell r="I262">
            <v>0</v>
          </cell>
          <cell r="J262">
            <v>2.9842285714285709E-3</v>
          </cell>
          <cell r="K262">
            <v>0</v>
          </cell>
          <cell r="L262">
            <v>2.9842285714285709E-3</v>
          </cell>
          <cell r="M262">
            <v>0.22500000000000001</v>
          </cell>
          <cell r="N262">
            <v>0.03</v>
          </cell>
          <cell r="O262">
            <v>0.255</v>
          </cell>
          <cell r="P262">
            <v>2.4987965616045844E-2</v>
          </cell>
          <cell r="Q262">
            <v>0</v>
          </cell>
          <cell r="R262">
            <v>0</v>
          </cell>
          <cell r="S262">
            <v>0</v>
          </cell>
          <cell r="T262">
            <v>0</v>
          </cell>
          <cell r="U262">
            <v>0</v>
          </cell>
          <cell r="V262">
            <v>0.38702676233601313</v>
          </cell>
        </row>
        <row r="263">
          <cell r="D263" t="str">
            <v>PERU-Total - Training Expenses, M$</v>
          </cell>
          <cell r="E263">
            <v>2.4868571428571424E-2</v>
          </cell>
          <cell r="F263">
            <v>2.7478100260571427E-2</v>
          </cell>
          <cell r="G263">
            <v>5.2346671689142851E-2</v>
          </cell>
          <cell r="H263">
            <v>6.0280184296516845E-3</v>
          </cell>
          <cell r="I263">
            <v>0</v>
          </cell>
          <cell r="J263">
            <v>1.0942171428571429E-2</v>
          </cell>
          <cell r="K263">
            <v>0</v>
          </cell>
          <cell r="L263">
            <v>1.0942171428571429E-2</v>
          </cell>
          <cell r="M263">
            <v>2.7926399999999997E-2</v>
          </cell>
          <cell r="N263">
            <v>1E-3</v>
          </cell>
          <cell r="O263">
            <v>2.8926399999999998E-2</v>
          </cell>
          <cell r="P263">
            <v>1.1458972685714287E-2</v>
          </cell>
          <cell r="Q263">
            <v>0</v>
          </cell>
          <cell r="R263">
            <v>0</v>
          </cell>
          <cell r="S263">
            <v>0</v>
          </cell>
          <cell r="T263">
            <v>0</v>
          </cell>
          <cell r="U263">
            <v>0</v>
          </cell>
          <cell r="V263">
            <v>0.10970223423308025</v>
          </cell>
        </row>
        <row r="264">
          <cell r="D264" t="str">
            <v>PERU-Total - Consultancy/Professional Fees, M$</v>
          </cell>
          <cell r="E264">
            <v>0.19936961415702004</v>
          </cell>
          <cell r="F264">
            <v>0</v>
          </cell>
          <cell r="G264">
            <v>0.19936961415702004</v>
          </cell>
          <cell r="H264">
            <v>6.9966303724928371E-3</v>
          </cell>
          <cell r="I264">
            <v>0</v>
          </cell>
          <cell r="J264">
            <v>2.9842285714285714E-3</v>
          </cell>
          <cell r="K264">
            <v>0</v>
          </cell>
          <cell r="L264">
            <v>2.9842285714285714E-3</v>
          </cell>
          <cell r="M264">
            <v>0.05</v>
          </cell>
          <cell r="N264">
            <v>1.5E-3</v>
          </cell>
          <cell r="O264">
            <v>5.1500000000000004E-2</v>
          </cell>
          <cell r="P264">
            <v>1.1997111747851001E-2</v>
          </cell>
          <cell r="Q264">
            <v>0</v>
          </cell>
          <cell r="R264">
            <v>0</v>
          </cell>
          <cell r="S264">
            <v>0</v>
          </cell>
          <cell r="T264">
            <v>0</v>
          </cell>
          <cell r="U264">
            <v>0</v>
          </cell>
          <cell r="V264">
            <v>0.27284758484879246</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0.19994331428571427</v>
          </cell>
          <cell r="F266">
            <v>1.3215735808E-2</v>
          </cell>
          <cell r="G266">
            <v>0.21315905009371428</v>
          </cell>
          <cell r="H266">
            <v>0</v>
          </cell>
          <cell r="I266">
            <v>0</v>
          </cell>
          <cell r="J266">
            <v>7.7888365714285729E-2</v>
          </cell>
          <cell r="K266">
            <v>0</v>
          </cell>
          <cell r="L266">
            <v>7.7888365714285729E-2</v>
          </cell>
          <cell r="M266">
            <v>5.3218742857142856E-2</v>
          </cell>
          <cell r="N266">
            <v>8.0000000000000002E-3</v>
          </cell>
          <cell r="O266">
            <v>6.1218742857142856E-2</v>
          </cell>
          <cell r="P266">
            <v>0</v>
          </cell>
          <cell r="Q266">
            <v>0</v>
          </cell>
          <cell r="R266">
            <v>0</v>
          </cell>
          <cell r="S266">
            <v>0</v>
          </cell>
          <cell r="T266">
            <v>0</v>
          </cell>
          <cell r="U266">
            <v>0</v>
          </cell>
          <cell r="V266">
            <v>0.35226615866514283</v>
          </cell>
        </row>
        <row r="267">
          <cell r="D267" t="str">
            <v>PERU-Depreciation, M$</v>
          </cell>
          <cell r="E267">
            <v>0.45400000000000007</v>
          </cell>
          <cell r="F267">
            <v>1.9433000000000002E-2</v>
          </cell>
          <cell r="G267">
            <v>0.47343300000000005</v>
          </cell>
          <cell r="H267">
            <v>6.6860000000000001E-3</v>
          </cell>
          <cell r="I267">
            <v>0</v>
          </cell>
          <cell r="J267">
            <v>6.7905371428571448E-2</v>
          </cell>
          <cell r="K267">
            <v>0</v>
          </cell>
          <cell r="L267">
            <v>6.7905371428571448E-2</v>
          </cell>
          <cell r="M267">
            <v>0.62900000000000011</v>
          </cell>
          <cell r="N267">
            <v>0.01</v>
          </cell>
          <cell r="O267">
            <v>0.63900000000000012</v>
          </cell>
          <cell r="P267">
            <v>0</v>
          </cell>
          <cell r="Q267">
            <v>0</v>
          </cell>
          <cell r="R267">
            <v>0</v>
          </cell>
          <cell r="S267">
            <v>0</v>
          </cell>
          <cell r="T267">
            <v>0</v>
          </cell>
          <cell r="U267">
            <v>8.0000000000000002E-3</v>
          </cell>
          <cell r="V267">
            <v>1.1950243714285718</v>
          </cell>
        </row>
        <row r="268">
          <cell r="D268" t="str">
            <v>PERU-Energy, M$</v>
          </cell>
          <cell r="E268">
            <v>7.2616228571428576E-2</v>
          </cell>
          <cell r="F268">
            <v>0</v>
          </cell>
          <cell r="G268">
            <v>7.2616228571428576E-2</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7.2616228571428576E-2</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2.375E-2</v>
          </cell>
          <cell r="O269">
            <v>2.375E-2</v>
          </cell>
          <cell r="P269">
            <v>0</v>
          </cell>
          <cell r="Q269">
            <v>0</v>
          </cell>
          <cell r="R269">
            <v>0</v>
          </cell>
          <cell r="S269">
            <v>0</v>
          </cell>
          <cell r="T269">
            <v>0</v>
          </cell>
          <cell r="U269">
            <v>0.05</v>
          </cell>
          <cell r="V269">
            <v>7.3749999999999996E-2</v>
          </cell>
        </row>
        <row r="270">
          <cell r="D270" t="str">
            <v>PERU-Freight Cost, M$</v>
          </cell>
          <cell r="E270">
            <v>0</v>
          </cell>
          <cell r="F270">
            <v>1.5079311248822858</v>
          </cell>
          <cell r="G270">
            <v>1.5079311248822858</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1.5079311248822858</v>
          </cell>
        </row>
        <row r="271">
          <cell r="D271" t="str">
            <v>PERU-Other Direct OPEX, M$</v>
          </cell>
          <cell r="E271">
            <v>0.16313782857142858</v>
          </cell>
          <cell r="F271">
            <v>0.10855446305906458</v>
          </cell>
          <cell r="G271">
            <v>0.27169229163049313</v>
          </cell>
          <cell r="H271">
            <v>4.6140092148258413E-2</v>
          </cell>
          <cell r="I271">
            <v>0</v>
          </cell>
          <cell r="J271">
            <v>5.1865554285714273E-2</v>
          </cell>
          <cell r="K271">
            <v>0</v>
          </cell>
          <cell r="L271">
            <v>5.1865554285714273E-2</v>
          </cell>
          <cell r="M271">
            <v>0.10564169142857144</v>
          </cell>
          <cell r="N271">
            <v>0.01</v>
          </cell>
          <cell r="O271">
            <v>0.11564169142857143</v>
          </cell>
          <cell r="P271">
            <v>0.17990537142857141</v>
          </cell>
          <cell r="Q271">
            <v>0</v>
          </cell>
          <cell r="R271">
            <v>0</v>
          </cell>
          <cell r="S271">
            <v>0</v>
          </cell>
          <cell r="T271">
            <v>0</v>
          </cell>
          <cell r="U271">
            <v>1.9894857142857145E-2</v>
          </cell>
          <cell r="V271">
            <v>0.68513985806446576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-0.25067720436081942</v>
          </cell>
          <cell r="V272">
            <v>-0.25067720436081942</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0.62193218410795692</v>
          </cell>
          <cell r="N294">
            <v>0</v>
          </cell>
          <cell r="O294">
            <v>0.62193218410795692</v>
          </cell>
          <cell r="P294">
            <v>0</v>
          </cell>
          <cell r="Q294">
            <v>0</v>
          </cell>
          <cell r="R294">
            <v>0</v>
          </cell>
          <cell r="S294">
            <v>0</v>
          </cell>
          <cell r="T294">
            <v>0</v>
          </cell>
          <cell r="U294">
            <v>0</v>
          </cell>
          <cell r="V294">
            <v>0.62193218410795692</v>
          </cell>
        </row>
        <row r="295">
          <cell r="D295" t="str">
            <v>URUGUAY-Total - Salaries, Wage and Benefits, M$</v>
          </cell>
          <cell r="E295">
            <v>0</v>
          </cell>
          <cell r="F295">
            <v>0</v>
          </cell>
          <cell r="G295">
            <v>0</v>
          </cell>
          <cell r="H295">
            <v>0</v>
          </cell>
          <cell r="I295">
            <v>0</v>
          </cell>
          <cell r="J295">
            <v>0</v>
          </cell>
          <cell r="K295">
            <v>0</v>
          </cell>
          <cell r="L295">
            <v>0</v>
          </cell>
          <cell r="M295">
            <v>2.0225538894095597E-2</v>
          </cell>
          <cell r="N295">
            <v>0</v>
          </cell>
          <cell r="O295">
            <v>2.0225538894095597E-2</v>
          </cell>
          <cell r="P295">
            <v>0</v>
          </cell>
          <cell r="Q295">
            <v>0</v>
          </cell>
          <cell r="R295">
            <v>0</v>
          </cell>
          <cell r="S295">
            <v>0</v>
          </cell>
          <cell r="T295">
            <v>0</v>
          </cell>
          <cell r="U295">
            <v>0</v>
          </cell>
          <cell r="V295">
            <v>2.0225538894095597E-2</v>
          </cell>
        </row>
        <row r="296">
          <cell r="D296" t="str">
            <v>URUGUAY-Total - XOM Employee SWB, M$</v>
          </cell>
          <cell r="E296">
            <v>0</v>
          </cell>
          <cell r="F296">
            <v>0</v>
          </cell>
          <cell r="G296">
            <v>0</v>
          </cell>
          <cell r="H296">
            <v>0</v>
          </cell>
          <cell r="I296">
            <v>0</v>
          </cell>
          <cell r="J296">
            <v>0</v>
          </cell>
          <cell r="K296">
            <v>0</v>
          </cell>
          <cell r="L296">
            <v>0</v>
          </cell>
          <cell r="M296">
            <v>2.0225538894095597E-2</v>
          </cell>
          <cell r="N296">
            <v>0</v>
          </cell>
          <cell r="O296">
            <v>2.0225538894095597E-2</v>
          </cell>
          <cell r="P296">
            <v>0</v>
          </cell>
          <cell r="Q296">
            <v>0</v>
          </cell>
          <cell r="R296">
            <v>0</v>
          </cell>
          <cell r="S296">
            <v>0</v>
          </cell>
          <cell r="T296">
            <v>0</v>
          </cell>
          <cell r="U296">
            <v>0</v>
          </cell>
          <cell r="V296">
            <v>2.0225538894095597E-2</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9.5333958138081824E-3</v>
          </cell>
          <cell r="N298">
            <v>0</v>
          </cell>
          <cell r="O298">
            <v>9.5333958138081824E-3</v>
          </cell>
          <cell r="P298">
            <v>0</v>
          </cell>
          <cell r="Q298">
            <v>0</v>
          </cell>
          <cell r="R298">
            <v>0</v>
          </cell>
          <cell r="S298">
            <v>0</v>
          </cell>
          <cell r="T298">
            <v>0</v>
          </cell>
          <cell r="U298">
            <v>0</v>
          </cell>
          <cell r="V298">
            <v>9.5333958138081824E-3</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4.3200000000000002E-2</v>
          </cell>
          <cell r="N305">
            <v>0</v>
          </cell>
          <cell r="O305">
            <v>4.3200000000000002E-2</v>
          </cell>
          <cell r="P305">
            <v>0</v>
          </cell>
          <cell r="Q305">
            <v>0</v>
          </cell>
          <cell r="R305">
            <v>0</v>
          </cell>
          <cell r="S305">
            <v>0</v>
          </cell>
          <cell r="T305">
            <v>0</v>
          </cell>
          <cell r="U305">
            <v>0</v>
          </cell>
          <cell r="V305">
            <v>4.3200000000000002E-2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0.5489732494000531</v>
          </cell>
          <cell r="N307">
            <v>0</v>
          </cell>
          <cell r="O307">
            <v>0.5489732494000531</v>
          </cell>
          <cell r="P307">
            <v>0</v>
          </cell>
          <cell r="Q307">
            <v>0</v>
          </cell>
          <cell r="R307">
            <v>0</v>
          </cell>
          <cell r="S307">
            <v>0</v>
          </cell>
          <cell r="T307">
            <v>0</v>
          </cell>
          <cell r="U307">
            <v>0</v>
          </cell>
          <cell r="V307">
            <v>0.5489732494000531</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0.40127182866556838</v>
          </cell>
          <cell r="F312">
            <v>0.69486724141770595</v>
          </cell>
          <cell r="G312">
            <v>1.0961390700832743</v>
          </cell>
          <cell r="H312">
            <v>0.25913165074167421</v>
          </cell>
          <cell r="I312">
            <v>0</v>
          </cell>
          <cell r="J312">
            <v>0</v>
          </cell>
          <cell r="K312">
            <v>0</v>
          </cell>
          <cell r="L312">
            <v>0</v>
          </cell>
          <cell r="M312">
            <v>2.3682755457039129</v>
          </cell>
          <cell r="N312">
            <v>-2.3249999999999993E-2</v>
          </cell>
          <cell r="O312">
            <v>2.3450255457039129</v>
          </cell>
          <cell r="P312">
            <v>0.46345529530712531</v>
          </cell>
          <cell r="Q312">
            <v>0</v>
          </cell>
          <cell r="R312">
            <v>0</v>
          </cell>
          <cell r="S312">
            <v>0</v>
          </cell>
          <cell r="T312">
            <v>0</v>
          </cell>
          <cell r="U312">
            <v>-0.60811855405991411</v>
          </cell>
          <cell r="V312">
            <v>3.5556330077760729</v>
          </cell>
        </row>
        <row r="313">
          <cell r="D313" t="str">
            <v>VENEZUELA-Total - Salaries, Wage and Benefits, M$</v>
          </cell>
          <cell r="E313">
            <v>8.4019769357495902E-2</v>
          </cell>
          <cell r="F313">
            <v>5.3661227955731472E-2</v>
          </cell>
          <cell r="G313">
            <v>0.13768099731322736</v>
          </cell>
          <cell r="H313">
            <v>0.1213579191725371</v>
          </cell>
          <cell r="I313">
            <v>0</v>
          </cell>
          <cell r="J313">
            <v>0</v>
          </cell>
          <cell r="K313">
            <v>0</v>
          </cell>
          <cell r="L313">
            <v>0</v>
          </cell>
          <cell r="M313">
            <v>0.48116250426239709</v>
          </cell>
          <cell r="N313">
            <v>0.04</v>
          </cell>
          <cell r="O313">
            <v>0.52116250426239707</v>
          </cell>
          <cell r="P313">
            <v>0.14476465082372331</v>
          </cell>
          <cell r="Q313">
            <v>0</v>
          </cell>
          <cell r="R313">
            <v>0</v>
          </cell>
          <cell r="S313">
            <v>0</v>
          </cell>
          <cell r="T313">
            <v>0</v>
          </cell>
          <cell r="U313">
            <v>0</v>
          </cell>
          <cell r="V313">
            <v>0.92496607157188493</v>
          </cell>
        </row>
        <row r="314">
          <cell r="D314" t="str">
            <v>VENEZUELA-Total - XOM Employee SWB, M$</v>
          </cell>
          <cell r="E314">
            <v>8.4019769357495902E-2</v>
          </cell>
          <cell r="F314">
            <v>5.3661227955731472E-2</v>
          </cell>
          <cell r="G314">
            <v>0.13768099731322736</v>
          </cell>
          <cell r="H314">
            <v>9.3311839936498386E-2</v>
          </cell>
          <cell r="I314">
            <v>0</v>
          </cell>
          <cell r="J314">
            <v>0</v>
          </cell>
          <cell r="K314">
            <v>0</v>
          </cell>
          <cell r="L314">
            <v>0</v>
          </cell>
          <cell r="M314">
            <v>0.47845314749468704</v>
          </cell>
          <cell r="N314">
            <v>0.04</v>
          </cell>
          <cell r="O314">
            <v>0.51845314749468707</v>
          </cell>
          <cell r="P314">
            <v>0.13148349019769365</v>
          </cell>
          <cell r="Q314">
            <v>0</v>
          </cell>
          <cell r="R314">
            <v>0</v>
          </cell>
          <cell r="S314">
            <v>0</v>
          </cell>
          <cell r="T314">
            <v>0</v>
          </cell>
          <cell r="U314">
            <v>0</v>
          </cell>
          <cell r="V314">
            <v>0.88092947494210649</v>
          </cell>
        </row>
        <row r="315">
          <cell r="D315" t="str">
            <v>VENEZUELA-Total - Contract Employee SWB, M$</v>
          </cell>
          <cell r="E315">
            <v>0</v>
          </cell>
          <cell r="F315">
            <v>0</v>
          </cell>
          <cell r="G315">
            <v>0</v>
          </cell>
          <cell r="H315">
            <v>2.8046079236038714E-2</v>
          </cell>
          <cell r="I315">
            <v>0</v>
          </cell>
          <cell r="J315">
            <v>0</v>
          </cell>
          <cell r="K315">
            <v>0</v>
          </cell>
          <cell r="L315">
            <v>0</v>
          </cell>
          <cell r="M315">
            <v>2.7093567677100496E-3</v>
          </cell>
          <cell r="N315">
            <v>0</v>
          </cell>
          <cell r="O315">
            <v>2.7093567677100496E-3</v>
          </cell>
          <cell r="P315">
            <v>1.3281160626029657E-2</v>
          </cell>
          <cell r="Q315">
            <v>0</v>
          </cell>
          <cell r="R315">
            <v>0</v>
          </cell>
          <cell r="S315">
            <v>0</v>
          </cell>
          <cell r="T315">
            <v>0</v>
          </cell>
          <cell r="U315">
            <v>0</v>
          </cell>
          <cell r="V315">
            <v>4.4036596629778421E-2</v>
          </cell>
        </row>
        <row r="316">
          <cell r="D316" t="str">
            <v>VENEZUELA-Total - Employee Expenses (T&amp;E), M$</v>
          </cell>
          <cell r="E316">
            <v>0</v>
          </cell>
          <cell r="F316">
            <v>1.9192904046789548E-2</v>
          </cell>
          <cell r="G316">
            <v>1.9192904046789548E-2</v>
          </cell>
          <cell r="H316">
            <v>6.8949705601326267E-2</v>
          </cell>
          <cell r="I316">
            <v>0</v>
          </cell>
          <cell r="J316">
            <v>0</v>
          </cell>
          <cell r="K316">
            <v>0</v>
          </cell>
          <cell r="L316">
            <v>0</v>
          </cell>
          <cell r="M316">
            <v>0.39200000000000002</v>
          </cell>
          <cell r="N316">
            <v>0.01</v>
          </cell>
          <cell r="O316">
            <v>0.40200000000000002</v>
          </cell>
          <cell r="P316">
            <v>8.4694632749999985E-2</v>
          </cell>
          <cell r="Q316">
            <v>0</v>
          </cell>
          <cell r="R316">
            <v>0</v>
          </cell>
          <cell r="S316">
            <v>0</v>
          </cell>
          <cell r="T316">
            <v>0</v>
          </cell>
          <cell r="U316">
            <v>0</v>
          </cell>
          <cell r="V316">
            <v>0.57483724239811584</v>
          </cell>
        </row>
        <row r="317">
          <cell r="D317" t="str">
            <v>VENEZUELA-Total - Training Expenses, M$</v>
          </cell>
          <cell r="E317">
            <v>8.5667215815485986E-3</v>
          </cell>
          <cell r="F317">
            <v>1.8121878051004943E-3</v>
          </cell>
          <cell r="G317">
            <v>1.0378909386649093E-2</v>
          </cell>
          <cell r="H317">
            <v>2.3208828193986817E-2</v>
          </cell>
          <cell r="I317">
            <v>0</v>
          </cell>
          <cell r="J317">
            <v>0</v>
          </cell>
          <cell r="K317">
            <v>0</v>
          </cell>
          <cell r="L317">
            <v>0</v>
          </cell>
          <cell r="M317">
            <v>2.390608912685338E-2</v>
          </cell>
          <cell r="N317">
            <v>5.0000000000000001E-3</v>
          </cell>
          <cell r="O317">
            <v>2.8906089126853381E-2</v>
          </cell>
          <cell r="P317">
            <v>1.6264609666680394E-2</v>
          </cell>
          <cell r="Q317">
            <v>0</v>
          </cell>
          <cell r="R317">
            <v>0</v>
          </cell>
          <cell r="S317">
            <v>0</v>
          </cell>
          <cell r="T317">
            <v>0</v>
          </cell>
          <cell r="U317">
            <v>0</v>
          </cell>
          <cell r="V317">
            <v>7.8758436374169682E-2</v>
          </cell>
        </row>
        <row r="318">
          <cell r="D318" t="str">
            <v>VENEZUELA-Total - Consultancy/Professional Fees, M$</v>
          </cell>
          <cell r="E318">
            <v>3.0313014827018123E-2</v>
          </cell>
          <cell r="F318">
            <v>0</v>
          </cell>
          <cell r="G318">
            <v>3.0313014827018123E-2</v>
          </cell>
          <cell r="H318">
            <v>0</v>
          </cell>
          <cell r="I318">
            <v>0</v>
          </cell>
          <cell r="J318">
            <v>0</v>
          </cell>
          <cell r="K318">
            <v>0</v>
          </cell>
          <cell r="L318">
            <v>0</v>
          </cell>
          <cell r="M318">
            <v>3.3202901565074133E-2</v>
          </cell>
          <cell r="N318">
            <v>5.0000000000000001E-3</v>
          </cell>
          <cell r="O318">
            <v>3.8202901565074131E-2</v>
          </cell>
          <cell r="P318">
            <v>1.1886965999999999E-2</v>
          </cell>
          <cell r="Q318">
            <v>0</v>
          </cell>
          <cell r="R318">
            <v>0</v>
          </cell>
          <cell r="S318">
            <v>0</v>
          </cell>
          <cell r="T318">
            <v>0</v>
          </cell>
          <cell r="U318">
            <v>0</v>
          </cell>
          <cell r="V318">
            <v>8.0402882392092256E-2</v>
          </cell>
        </row>
        <row r="319">
          <cell r="D319" t="str">
            <v>VENEZUELA-Advertising and Promotions, M$</v>
          </cell>
          <cell r="E319">
            <v>0</v>
          </cell>
          <cell r="F319">
            <v>0</v>
          </cell>
          <cell r="G319">
            <v>0</v>
          </cell>
          <cell r="H319">
            <v>0</v>
          </cell>
          <cell r="I319">
            <v>0</v>
          </cell>
          <cell r="J319">
            <v>0</v>
          </cell>
          <cell r="K319">
            <v>0</v>
          </cell>
          <cell r="L319">
            <v>0</v>
          </cell>
          <cell r="M319">
            <v>0.96515365815486009</v>
          </cell>
          <cell r="N319">
            <v>0</v>
          </cell>
          <cell r="O319">
            <v>0.96515365815486009</v>
          </cell>
          <cell r="P319">
            <v>0</v>
          </cell>
          <cell r="Q319">
            <v>0</v>
          </cell>
          <cell r="R319">
            <v>0</v>
          </cell>
          <cell r="S319">
            <v>0</v>
          </cell>
          <cell r="T319">
            <v>0</v>
          </cell>
          <cell r="U319">
            <v>0</v>
          </cell>
          <cell r="V319">
            <v>0.96515365815486009</v>
          </cell>
        </row>
        <row r="320">
          <cell r="D320" t="str">
            <v>VENEZUELA-Maintenance and Repairs, M$</v>
          </cell>
          <cell r="E320">
            <v>0</v>
          </cell>
          <cell r="F320">
            <v>9.25696895634267E-4</v>
          </cell>
          <cell r="G320">
            <v>9.25696895634267E-4</v>
          </cell>
          <cell r="H320">
            <v>0</v>
          </cell>
          <cell r="I320">
            <v>0</v>
          </cell>
          <cell r="J320">
            <v>0</v>
          </cell>
          <cell r="K320">
            <v>0</v>
          </cell>
          <cell r="L320">
            <v>0</v>
          </cell>
          <cell r="M320">
            <v>5.3124642504118628E-2</v>
          </cell>
          <cell r="N320">
            <v>3.0000000000000001E-3</v>
          </cell>
          <cell r="O320">
            <v>5.6124642504118631E-2</v>
          </cell>
          <cell r="P320">
            <v>0</v>
          </cell>
          <cell r="Q320">
            <v>0</v>
          </cell>
          <cell r="R320">
            <v>0</v>
          </cell>
          <cell r="S320">
            <v>0</v>
          </cell>
          <cell r="T320">
            <v>0</v>
          </cell>
          <cell r="U320">
            <v>0</v>
          </cell>
          <cell r="V320">
            <v>5.7050339399752896E-2</v>
          </cell>
        </row>
        <row r="321">
          <cell r="D321" t="str">
            <v>VENEZUELA-Depreciation, M$</v>
          </cell>
          <cell r="E321">
            <v>3.599999999999999E-2</v>
          </cell>
          <cell r="F321">
            <v>0</v>
          </cell>
          <cell r="G321">
            <v>3.599999999999999E-2</v>
          </cell>
          <cell r="H321">
            <v>0</v>
          </cell>
          <cell r="I321">
            <v>0</v>
          </cell>
          <cell r="J321">
            <v>0</v>
          </cell>
          <cell r="K321">
            <v>0</v>
          </cell>
          <cell r="L321">
            <v>0</v>
          </cell>
          <cell r="M321">
            <v>0.19196812438220759</v>
          </cell>
          <cell r="N321">
            <v>2E-3</v>
          </cell>
          <cell r="O321">
            <v>0.19396812438220759</v>
          </cell>
          <cell r="P321">
            <v>2.8992174093904451E-3</v>
          </cell>
          <cell r="Q321">
            <v>0</v>
          </cell>
          <cell r="R321">
            <v>0</v>
          </cell>
          <cell r="S321">
            <v>0</v>
          </cell>
          <cell r="T321">
            <v>0</v>
          </cell>
          <cell r="U321">
            <v>0</v>
          </cell>
          <cell r="V321">
            <v>0.23286734179159804</v>
          </cell>
        </row>
        <row r="322">
          <cell r="D322" t="str">
            <v>VENEZUELA-Energy, M$</v>
          </cell>
          <cell r="E322">
            <v>7.3805601317957163E-3</v>
          </cell>
          <cell r="F322">
            <v>0</v>
          </cell>
          <cell r="G322">
            <v>7.3805601317957163E-3</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7.3805601317957163E-3</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6.3750000000000001E-2</v>
          </cell>
          <cell r="O323">
            <v>6.3750000000000001E-2</v>
          </cell>
          <cell r="P323">
            <v>0</v>
          </cell>
          <cell r="Q323">
            <v>0</v>
          </cell>
          <cell r="R323">
            <v>0</v>
          </cell>
          <cell r="S323">
            <v>0</v>
          </cell>
          <cell r="T323">
            <v>0</v>
          </cell>
          <cell r="U323">
            <v>0</v>
          </cell>
          <cell r="V323">
            <v>6.3750000000000001E-2</v>
          </cell>
        </row>
        <row r="324">
          <cell r="D324" t="str">
            <v>VENEZUELA-Freight Cost, M$</v>
          </cell>
          <cell r="E324">
            <v>0</v>
          </cell>
          <cell r="F324">
            <v>0.40724876142164956</v>
          </cell>
          <cell r="G324">
            <v>0.40724876142164956</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0.40724876142164956</v>
          </cell>
        </row>
        <row r="325">
          <cell r="D325" t="str">
            <v>VENEZUELA-Other Direct OPEX, M$</v>
          </cell>
          <cell r="E325">
            <v>0.23499176276771006</v>
          </cell>
          <cell r="F325">
            <v>0.21202646329280059</v>
          </cell>
          <cell r="G325">
            <v>0.44701822606051067</v>
          </cell>
          <cell r="H325">
            <v>4.5615197773824043E-2</v>
          </cell>
          <cell r="I325">
            <v>0</v>
          </cell>
          <cell r="J325">
            <v>0</v>
          </cell>
          <cell r="K325">
            <v>0</v>
          </cell>
          <cell r="L325">
            <v>0</v>
          </cell>
          <cell r="M325">
            <v>0.227757625708402</v>
          </cell>
          <cell r="N325">
            <v>-0.152</v>
          </cell>
          <cell r="O325">
            <v>7.5757625708401999E-2</v>
          </cell>
          <cell r="P325">
            <v>0.20294521865733117</v>
          </cell>
          <cell r="Q325">
            <v>0</v>
          </cell>
          <cell r="R325">
            <v>0</v>
          </cell>
          <cell r="S325">
            <v>0</v>
          </cell>
          <cell r="T325">
            <v>0</v>
          </cell>
          <cell r="U325">
            <v>0</v>
          </cell>
          <cell r="V325">
            <v>0.77133626820006784</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-0.60811855405991411</v>
          </cell>
          <cell r="V326">
            <v>-0.60811855405991411</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-0.10849999999999999</v>
          </cell>
          <cell r="V366">
            <v>-0.10849999999999999</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-0.10849999999999999</v>
          </cell>
          <cell r="V380">
            <v>-0.10849999999999999</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25.564539609200001</v>
          </cell>
          <cell r="F384">
            <v>35.078820000000007</v>
          </cell>
          <cell r="G384">
            <v>60.643359609199997</v>
          </cell>
          <cell r="H384">
            <v>3.2449599999999998</v>
          </cell>
          <cell r="I384">
            <v>2.3802720000000006</v>
          </cell>
          <cell r="J384">
            <v>3.570408</v>
          </cell>
          <cell r="K384">
            <v>0.41969600000000007</v>
          </cell>
          <cell r="L384">
            <v>6.3703760000000003</v>
          </cell>
          <cell r="M384">
            <v>11.100932000000002</v>
          </cell>
          <cell r="N384">
            <v>0</v>
          </cell>
          <cell r="O384">
            <v>11.100932000000002</v>
          </cell>
          <cell r="P384">
            <v>5.3664667583999996</v>
          </cell>
          <cell r="Q384">
            <v>0</v>
          </cell>
          <cell r="R384">
            <v>0</v>
          </cell>
          <cell r="S384">
            <v>1.5181</v>
          </cell>
          <cell r="T384">
            <v>1.5181</v>
          </cell>
          <cell r="U384">
            <v>-4.2281155702211572</v>
          </cell>
          <cell r="V384">
            <v>84.016078797378839</v>
          </cell>
        </row>
        <row r="385">
          <cell r="D385" t="str">
            <v>IOL-Total - Salaries, Wage and Benefits, M$</v>
          </cell>
          <cell r="E385">
            <v>12.879828109200004</v>
          </cell>
          <cell r="F385">
            <v>3.5050600000000003</v>
          </cell>
          <cell r="G385">
            <v>16.384888109200002</v>
          </cell>
          <cell r="H385">
            <v>0</v>
          </cell>
          <cell r="I385">
            <v>0</v>
          </cell>
          <cell r="J385">
            <v>0</v>
          </cell>
          <cell r="K385">
            <v>0</v>
          </cell>
          <cell r="L385">
            <v>0</v>
          </cell>
          <cell r="M385">
            <v>4.9877320000000003</v>
          </cell>
          <cell r="N385">
            <v>0</v>
          </cell>
          <cell r="O385">
            <v>4.9877320000000003</v>
          </cell>
          <cell r="P385">
            <v>2.5240240000000003</v>
          </cell>
          <cell r="Q385">
            <v>0</v>
          </cell>
          <cell r="R385">
            <v>0</v>
          </cell>
          <cell r="S385">
            <v>1.1352599999999999</v>
          </cell>
          <cell r="T385">
            <v>1.1352599999999999</v>
          </cell>
          <cell r="U385">
            <v>0.4556</v>
          </cell>
          <cell r="V385">
            <v>25.487504109200003</v>
          </cell>
        </row>
        <row r="386">
          <cell r="D386" t="str">
            <v>IOL-Total - XOM Employee SWB, M$</v>
          </cell>
          <cell r="E386">
            <v>12.650182589200003</v>
          </cell>
          <cell r="F386">
            <v>3.4200600000000003</v>
          </cell>
          <cell r="G386">
            <v>16.070242589200003</v>
          </cell>
          <cell r="H386">
            <v>0</v>
          </cell>
          <cell r="I386">
            <v>0</v>
          </cell>
          <cell r="J386">
            <v>0</v>
          </cell>
          <cell r="K386">
            <v>0</v>
          </cell>
          <cell r="L386">
            <v>0</v>
          </cell>
          <cell r="M386">
            <v>4.9843320000000002</v>
          </cell>
          <cell r="N386">
            <v>0</v>
          </cell>
          <cell r="O386">
            <v>4.9843320000000002</v>
          </cell>
          <cell r="P386">
            <v>2.4186240000000003</v>
          </cell>
          <cell r="Q386">
            <v>0</v>
          </cell>
          <cell r="R386">
            <v>0</v>
          </cell>
          <cell r="S386">
            <v>1.1352599999999999</v>
          </cell>
          <cell r="T386">
            <v>1.1352599999999999</v>
          </cell>
          <cell r="U386">
            <v>0.30599999999999999</v>
          </cell>
          <cell r="V386">
            <v>24.914458589200002</v>
          </cell>
        </row>
        <row r="387">
          <cell r="D387" t="str">
            <v>IOL-Total - Contract Employee SWB, M$</v>
          </cell>
          <cell r="E387">
            <v>0.22964551999999999</v>
          </cell>
          <cell r="F387">
            <v>8.5000000000000006E-2</v>
          </cell>
          <cell r="G387">
            <v>0.31464552000000001</v>
          </cell>
          <cell r="H387">
            <v>0</v>
          </cell>
          <cell r="I387">
            <v>0</v>
          </cell>
          <cell r="J387">
            <v>0</v>
          </cell>
          <cell r="K387">
            <v>0</v>
          </cell>
          <cell r="L387">
            <v>0</v>
          </cell>
          <cell r="M387">
            <v>3.4000000000000002E-3</v>
          </cell>
          <cell r="N387">
            <v>0</v>
          </cell>
          <cell r="O387">
            <v>3.4000000000000002E-3</v>
          </cell>
          <cell r="P387">
            <v>0.10540000000000001</v>
          </cell>
          <cell r="Q387">
            <v>0</v>
          </cell>
          <cell r="R387">
            <v>0</v>
          </cell>
          <cell r="S387">
            <v>0</v>
          </cell>
          <cell r="T387">
            <v>0</v>
          </cell>
          <cell r="U387">
            <v>0.14960000000000001</v>
          </cell>
          <cell r="V387">
            <v>0.57304551999999997</v>
          </cell>
        </row>
        <row r="388">
          <cell r="D388" t="str">
            <v>IOL-Total - Employee Expenses (T&amp;E), M$</v>
          </cell>
          <cell r="E388">
            <v>0.16427100000000003</v>
          </cell>
          <cell r="F388">
            <v>8.9080000000000006E-2</v>
          </cell>
          <cell r="G388">
            <v>0.25335100000000005</v>
          </cell>
          <cell r="H388">
            <v>0</v>
          </cell>
          <cell r="I388">
            <v>0</v>
          </cell>
          <cell r="J388">
            <v>0</v>
          </cell>
          <cell r="K388">
            <v>0</v>
          </cell>
          <cell r="L388">
            <v>0</v>
          </cell>
          <cell r="M388">
            <v>0.70584000000000002</v>
          </cell>
          <cell r="N388">
            <v>0</v>
          </cell>
          <cell r="O388">
            <v>0.70584000000000002</v>
          </cell>
          <cell r="P388">
            <v>0.2278</v>
          </cell>
          <cell r="Q388">
            <v>0</v>
          </cell>
          <cell r="R388">
            <v>0</v>
          </cell>
          <cell r="S388">
            <v>0.18768000000000001</v>
          </cell>
          <cell r="T388">
            <v>0.18768000000000001</v>
          </cell>
          <cell r="U388">
            <v>0</v>
          </cell>
          <cell r="V388">
            <v>1.3746710000000002</v>
          </cell>
        </row>
        <row r="389">
          <cell r="D389" t="str">
            <v>IOL-Total - Training Expenses, M$</v>
          </cell>
          <cell r="E389">
            <v>1.1645000000000001E-2</v>
          </cell>
          <cell r="F389">
            <v>1.0880000000000001E-2</v>
          </cell>
          <cell r="G389">
            <v>2.2525000000000003E-2</v>
          </cell>
          <cell r="H389">
            <v>0</v>
          </cell>
          <cell r="I389">
            <v>0</v>
          </cell>
          <cell r="J389">
            <v>0</v>
          </cell>
          <cell r="K389">
            <v>0</v>
          </cell>
          <cell r="L389">
            <v>0</v>
          </cell>
          <cell r="M389">
            <v>5.1680000000000004E-2</v>
          </cell>
          <cell r="N389">
            <v>0</v>
          </cell>
          <cell r="O389">
            <v>5.1680000000000004E-2</v>
          </cell>
          <cell r="P389">
            <v>4.7600000000000003E-2</v>
          </cell>
          <cell r="Q389">
            <v>0</v>
          </cell>
          <cell r="R389">
            <v>0</v>
          </cell>
          <cell r="S389">
            <v>1.3600000000000001E-2</v>
          </cell>
          <cell r="T389">
            <v>1.3600000000000001E-2</v>
          </cell>
          <cell r="U389">
            <v>0</v>
          </cell>
          <cell r="V389">
            <v>0.135405</v>
          </cell>
        </row>
        <row r="390">
          <cell r="D390" t="str">
            <v>IOL-Total - Consultancy/Professional Fees, M$</v>
          </cell>
          <cell r="E390">
            <v>0.17095200000000002</v>
          </cell>
          <cell r="F390">
            <v>4.7600000000000003E-2</v>
          </cell>
          <cell r="G390">
            <v>0.21855200000000002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0.21855200000000002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2.0474800000000002</v>
          </cell>
          <cell r="Q391">
            <v>0</v>
          </cell>
          <cell r="R391">
            <v>0</v>
          </cell>
          <cell r="S391">
            <v>0</v>
          </cell>
          <cell r="T391">
            <v>0</v>
          </cell>
          <cell r="U391">
            <v>0</v>
          </cell>
          <cell r="V391">
            <v>2.0474800000000002</v>
          </cell>
        </row>
        <row r="392">
          <cell r="D392" t="str">
            <v>IOL-Maintenance and Repairs, M$</v>
          </cell>
          <cell r="E392">
            <v>1.2126440000000001</v>
          </cell>
          <cell r="F392">
            <v>0.21148000000000003</v>
          </cell>
          <cell r="G392">
            <v>1.4241240000000002</v>
          </cell>
          <cell r="H392">
            <v>0</v>
          </cell>
          <cell r="I392">
            <v>0</v>
          </cell>
          <cell r="J392">
            <v>0</v>
          </cell>
          <cell r="K392">
            <v>0</v>
          </cell>
          <cell r="L392">
            <v>0</v>
          </cell>
          <cell r="M392">
            <v>0.13600000000000001</v>
          </cell>
          <cell r="N392">
            <v>0</v>
          </cell>
          <cell r="O392">
            <v>0.13600000000000001</v>
          </cell>
          <cell r="P392">
            <v>0</v>
          </cell>
          <cell r="Q392">
            <v>0</v>
          </cell>
          <cell r="R392">
            <v>0</v>
          </cell>
          <cell r="S392">
            <v>0</v>
          </cell>
          <cell r="T392">
            <v>0</v>
          </cell>
          <cell r="U392">
            <v>0</v>
          </cell>
          <cell r="V392">
            <v>1.5601240000000001</v>
          </cell>
        </row>
        <row r="393">
          <cell r="D393" t="str">
            <v>IOL-Depreciation, M$</v>
          </cell>
          <cell r="E393">
            <v>3.7784880000000007</v>
          </cell>
          <cell r="F393">
            <v>0.11968000000000001</v>
          </cell>
          <cell r="G393">
            <v>3.898168000000001</v>
          </cell>
          <cell r="H393">
            <v>0</v>
          </cell>
          <cell r="I393">
            <v>0</v>
          </cell>
          <cell r="J393">
            <v>0</v>
          </cell>
          <cell r="K393">
            <v>0</v>
          </cell>
          <cell r="L393">
            <v>0</v>
          </cell>
          <cell r="M393">
            <v>6.3920000000000005E-2</v>
          </cell>
          <cell r="N393">
            <v>0</v>
          </cell>
          <cell r="O393">
            <v>6.3920000000000005E-2</v>
          </cell>
          <cell r="P393">
            <v>0.15640000000000001</v>
          </cell>
          <cell r="Q393">
            <v>0</v>
          </cell>
          <cell r="R393">
            <v>0</v>
          </cell>
          <cell r="S393">
            <v>0</v>
          </cell>
          <cell r="T393">
            <v>0</v>
          </cell>
          <cell r="U393">
            <v>0</v>
          </cell>
          <cell r="V393">
            <v>4.118488000000001</v>
          </cell>
        </row>
        <row r="394">
          <cell r="D394" t="str">
            <v>IOL-Energy, M$</v>
          </cell>
          <cell r="E394">
            <v>4.2018900000000006</v>
          </cell>
          <cell r="F394">
            <v>0</v>
          </cell>
          <cell r="G394">
            <v>4.2018900000000006</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4.2018900000000006</v>
          </cell>
        </row>
        <row r="395">
          <cell r="D395" t="str">
            <v>IOL-Direct Allocations from Other Business Lines (eg. FM, Chem), $M</v>
          </cell>
          <cell r="E395">
            <v>0.95540000000000014</v>
          </cell>
          <cell r="F395">
            <v>1.6088800000000001</v>
          </cell>
          <cell r="G395">
            <v>2.5642800000000001</v>
          </cell>
          <cell r="H395">
            <v>0</v>
          </cell>
          <cell r="I395">
            <v>0</v>
          </cell>
          <cell r="J395">
            <v>0</v>
          </cell>
          <cell r="K395">
            <v>0</v>
          </cell>
          <cell r="L395">
            <v>0</v>
          </cell>
          <cell r="M395">
            <v>0.20060000000000003</v>
          </cell>
          <cell r="N395">
            <v>0</v>
          </cell>
          <cell r="O395">
            <v>0.20060000000000003</v>
          </cell>
          <cell r="P395">
            <v>0</v>
          </cell>
          <cell r="Q395">
            <v>0</v>
          </cell>
          <cell r="R395">
            <v>0</v>
          </cell>
          <cell r="S395">
            <v>0</v>
          </cell>
          <cell r="T395">
            <v>0</v>
          </cell>
          <cell r="U395">
            <v>0</v>
          </cell>
          <cell r="V395">
            <v>2.7648800000000002</v>
          </cell>
        </row>
        <row r="396">
          <cell r="D396" t="str">
            <v>IOL-Freight Cost, M$</v>
          </cell>
          <cell r="E396">
            <v>0</v>
          </cell>
          <cell r="F396">
            <v>27.077600000000004</v>
          </cell>
          <cell r="G396">
            <v>27.077600000000004</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27.077600000000004</v>
          </cell>
        </row>
        <row r="397">
          <cell r="D397" t="str">
            <v>IOL-Other Direct OPEX, M$</v>
          </cell>
          <cell r="E397">
            <v>2.189421499999995</v>
          </cell>
          <cell r="F397">
            <v>2.4085600000000005</v>
          </cell>
          <cell r="G397">
            <v>4.5979814999999959</v>
          </cell>
          <cell r="H397">
            <v>3.2449599999999998</v>
          </cell>
          <cell r="I397">
            <v>2.3802720000000006</v>
          </cell>
          <cell r="J397">
            <v>3.570408</v>
          </cell>
          <cell r="K397">
            <v>0.41969600000000007</v>
          </cell>
          <cell r="L397">
            <v>6.3703760000000003</v>
          </cell>
          <cell r="M397">
            <v>4.9551600000000011</v>
          </cell>
          <cell r="N397">
            <v>0</v>
          </cell>
          <cell r="O397">
            <v>4.9551600000000011</v>
          </cell>
          <cell r="P397">
            <v>0.3631627583999994</v>
          </cell>
          <cell r="Q397">
            <v>0</v>
          </cell>
          <cell r="R397">
            <v>0</v>
          </cell>
          <cell r="S397">
            <v>0.18156</v>
          </cell>
          <cell r="T397">
            <v>0.18156</v>
          </cell>
          <cell r="U397">
            <v>0.10200000000000001</v>
          </cell>
          <cell r="V397">
            <v>19.815200258399997</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-4.7857155702211571</v>
          </cell>
          <cell r="V398">
            <v>-4.7857155702211571</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1.6840949920622004</v>
          </cell>
          <cell r="F456">
            <v>3.0030000000000001</v>
          </cell>
          <cell r="G456">
            <v>4.6870949920622014</v>
          </cell>
          <cell r="H456">
            <v>0.89576999970000004</v>
          </cell>
          <cell r="I456">
            <v>0.201041</v>
          </cell>
          <cell r="J456">
            <v>1.6060873317099999E-2</v>
          </cell>
          <cell r="K456">
            <v>0</v>
          </cell>
          <cell r="L456">
            <v>0.21710187331709999</v>
          </cell>
          <cell r="M456">
            <v>3.7628690000000002</v>
          </cell>
          <cell r="N456">
            <v>0.163768</v>
          </cell>
          <cell r="O456">
            <v>3.9266370000000004</v>
          </cell>
          <cell r="P456">
            <v>0</v>
          </cell>
          <cell r="Q456">
            <v>0</v>
          </cell>
          <cell r="R456">
            <v>1.2070999999999985E-2</v>
          </cell>
          <cell r="S456">
            <v>0.28799999999999998</v>
          </cell>
          <cell r="T456">
            <v>0.30007099999999998</v>
          </cell>
          <cell r="U456">
            <v>3.6283979999999985</v>
          </cell>
          <cell r="V456">
            <v>13.655072865079299</v>
          </cell>
        </row>
        <row r="457">
          <cell r="D457" t="str">
            <v>AUSTRIA-Total - Salaries, Wage and Benefits, M$</v>
          </cell>
          <cell r="E457">
            <v>8.7384486090000005E-2</v>
          </cell>
          <cell r="F457">
            <v>0</v>
          </cell>
          <cell r="G457">
            <v>8.7384486090000005E-2</v>
          </cell>
          <cell r="H457">
            <v>0</v>
          </cell>
          <cell r="I457">
            <v>0.112565</v>
          </cell>
          <cell r="J457">
            <v>1.1890292199999999E-2</v>
          </cell>
          <cell r="K457">
            <v>0</v>
          </cell>
          <cell r="L457">
            <v>0.1244552922</v>
          </cell>
          <cell r="M457">
            <v>1.5017670000000001</v>
          </cell>
          <cell r="N457">
            <v>0</v>
          </cell>
          <cell r="O457">
            <v>1.5017670000000001</v>
          </cell>
          <cell r="P457">
            <v>0</v>
          </cell>
          <cell r="Q457">
            <v>0</v>
          </cell>
          <cell r="R457">
            <v>0.100285</v>
          </cell>
          <cell r="S457">
            <v>0</v>
          </cell>
          <cell r="T457">
            <v>0.100285</v>
          </cell>
          <cell r="U457">
            <v>6.0088000000000003E-2</v>
          </cell>
          <cell r="V457">
            <v>1.8739797782899998</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6.0088000000000003E-2</v>
          </cell>
          <cell r="V458">
            <v>1.6185579999999999</v>
          </cell>
        </row>
        <row r="459">
          <cell r="D459" t="str">
            <v>AUSTRIA-Total - Contract Employee SWB, M$</v>
          </cell>
          <cell r="E459">
            <v>8.7384486090000005E-2</v>
          </cell>
          <cell r="F459">
            <v>0</v>
          </cell>
          <cell r="G459">
            <v>8.7384486090000005E-2</v>
          </cell>
          <cell r="H459">
            <v>0</v>
          </cell>
          <cell r="I459">
            <v>0</v>
          </cell>
          <cell r="J459">
            <v>1.1890292199999999E-2</v>
          </cell>
          <cell r="K459">
            <v>0</v>
          </cell>
          <cell r="L459">
            <v>1.1890292199999999E-2</v>
          </cell>
          <cell r="M459">
            <v>0.15614700000000001</v>
          </cell>
          <cell r="N459">
            <v>0</v>
          </cell>
          <cell r="O459">
            <v>0.15614700000000001</v>
          </cell>
          <cell r="P459">
            <v>0</v>
          </cell>
          <cell r="Q459">
            <v>0</v>
          </cell>
          <cell r="R459">
            <v>0</v>
          </cell>
          <cell r="S459">
            <v>0</v>
          </cell>
          <cell r="T459">
            <v>0</v>
          </cell>
          <cell r="U459">
            <v>0</v>
          </cell>
          <cell r="V459">
            <v>0.25542177829000001</v>
          </cell>
        </row>
        <row r="460">
          <cell r="D460" t="str">
            <v>AUSTRIA-Total - Employee Expenses (T&amp;E), M$</v>
          </cell>
          <cell r="E460">
            <v>0</v>
          </cell>
          <cell r="F460">
            <v>0</v>
          </cell>
          <cell r="G460">
            <v>0</v>
          </cell>
          <cell r="H460">
            <v>0</v>
          </cell>
          <cell r="I460">
            <v>2.3344E-2</v>
          </cell>
          <cell r="J460">
            <v>0</v>
          </cell>
          <cell r="K460">
            <v>0</v>
          </cell>
          <cell r="L460">
            <v>2.3344E-2</v>
          </cell>
          <cell r="M460">
            <v>0.53216700000000006</v>
          </cell>
          <cell r="N460">
            <v>0</v>
          </cell>
          <cell r="O460">
            <v>0.53216700000000006</v>
          </cell>
          <cell r="P460">
            <v>0</v>
          </cell>
          <cell r="Q460">
            <v>0</v>
          </cell>
          <cell r="R460">
            <v>2.0153999999999998E-2</v>
          </cell>
          <cell r="S460">
            <v>0</v>
          </cell>
          <cell r="T460">
            <v>2.0153999999999998E-2</v>
          </cell>
          <cell r="U460">
            <v>6.2859999999999999E-3</v>
          </cell>
          <cell r="V460">
            <v>0.58195100000000011</v>
          </cell>
        </row>
        <row r="461">
          <cell r="D461" t="str">
            <v>AUSTRIA-Total - Training Expenses, M$</v>
          </cell>
          <cell r="E461">
            <v>0</v>
          </cell>
          <cell r="F461">
            <v>0</v>
          </cell>
          <cell r="G461">
            <v>0</v>
          </cell>
          <cell r="H461">
            <v>0</v>
          </cell>
          <cell r="I461">
            <v>0</v>
          </cell>
          <cell r="J461">
            <v>0</v>
          </cell>
          <cell r="K461">
            <v>0</v>
          </cell>
          <cell r="L461">
            <v>0</v>
          </cell>
          <cell r="M461">
            <v>7.417E-3</v>
          </cell>
          <cell r="N461">
            <v>0</v>
          </cell>
          <cell r="O461">
            <v>7.417E-3</v>
          </cell>
          <cell r="P461">
            <v>0</v>
          </cell>
          <cell r="Q461">
            <v>0</v>
          </cell>
          <cell r="R461">
            <v>0</v>
          </cell>
          <cell r="S461">
            <v>0</v>
          </cell>
          <cell r="T461">
            <v>0</v>
          </cell>
          <cell r="U461">
            <v>0</v>
          </cell>
          <cell r="V461">
            <v>7.417E-3</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0.23950100000000002</v>
          </cell>
          <cell r="N463">
            <v>3.3E-4</v>
          </cell>
          <cell r="O463">
            <v>0.23983100000000002</v>
          </cell>
          <cell r="P463">
            <v>0</v>
          </cell>
          <cell r="Q463">
            <v>0</v>
          </cell>
          <cell r="R463">
            <v>0</v>
          </cell>
          <cell r="S463">
            <v>0</v>
          </cell>
          <cell r="T463">
            <v>0</v>
          </cell>
          <cell r="U463">
            <v>0</v>
          </cell>
          <cell r="V463">
            <v>0.23983100000000002</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2.0000000000000002E-5</v>
          </cell>
          <cell r="N465">
            <v>0</v>
          </cell>
          <cell r="O465">
            <v>2.0000000000000002E-5</v>
          </cell>
          <cell r="P465">
            <v>0</v>
          </cell>
          <cell r="Q465">
            <v>0</v>
          </cell>
          <cell r="R465">
            <v>0</v>
          </cell>
          <cell r="S465">
            <v>0</v>
          </cell>
          <cell r="T465">
            <v>0</v>
          </cell>
          <cell r="U465">
            <v>6.862E-3</v>
          </cell>
          <cell r="V465">
            <v>6.8820000000000001E-3</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1.5967105059722004</v>
          </cell>
          <cell r="F469">
            <v>3.0030000000000001</v>
          </cell>
          <cell r="G469">
            <v>4.599710505972201</v>
          </cell>
          <cell r="H469">
            <v>0.89576999970000004</v>
          </cell>
          <cell r="I469">
            <v>6.5131999999999995E-2</v>
          </cell>
          <cell r="J469">
            <v>4.1705811171000003E-3</v>
          </cell>
          <cell r="K469">
            <v>0</v>
          </cell>
          <cell r="L469">
            <v>6.9302581117099998E-2</v>
          </cell>
          <cell r="M469">
            <v>1.4819969999999998</v>
          </cell>
          <cell r="N469">
            <v>0.163438</v>
          </cell>
          <cell r="O469">
            <v>1.6454349999999998</v>
          </cell>
          <cell r="P469">
            <v>0</v>
          </cell>
          <cell r="Q469">
            <v>0</v>
          </cell>
          <cell r="R469">
            <v>-0.10836800000000001</v>
          </cell>
          <cell r="S469">
            <v>0.28799999999999998</v>
          </cell>
          <cell r="T469">
            <v>0.17963199999999996</v>
          </cell>
          <cell r="U469">
            <v>3.5551620000000002</v>
          </cell>
          <cell r="V469">
            <v>10.945012086789301</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-1.7763568394002505E-15</v>
          </cell>
          <cell r="V470">
            <v>-1.7763568394002505E-15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0.83919999999999995</v>
          </cell>
          <cell r="G474">
            <v>0.83919999999999995</v>
          </cell>
          <cell r="H474">
            <v>0.20372699999999999</v>
          </cell>
          <cell r="I474">
            <v>0</v>
          </cell>
          <cell r="J474">
            <v>0</v>
          </cell>
          <cell r="K474">
            <v>0</v>
          </cell>
          <cell r="L474">
            <v>0</v>
          </cell>
          <cell r="M474">
            <v>5.0275268484179314</v>
          </cell>
          <cell r="N474">
            <v>0</v>
          </cell>
          <cell r="O474">
            <v>5.0275268484179314</v>
          </cell>
          <cell r="P474">
            <v>9.7599999999999992E-2</v>
          </cell>
          <cell r="Q474">
            <v>0</v>
          </cell>
          <cell r="R474">
            <v>1.5158206795802128E-7</v>
          </cell>
          <cell r="S474">
            <v>0</v>
          </cell>
          <cell r="T474">
            <v>1.5158206795802128E-7</v>
          </cell>
          <cell r="U474">
            <v>0.4092000000000009</v>
          </cell>
          <cell r="V474">
            <v>6.5772540000000017</v>
          </cell>
        </row>
        <row r="475">
          <cell r="D475" t="str">
            <v>BALKANS-Total - Salaries, Wage and Benefits, M$</v>
          </cell>
          <cell r="E475">
            <v>0</v>
          </cell>
          <cell r="F475">
            <v>7.2800000000000004E-2</v>
          </cell>
          <cell r="G475">
            <v>7.2800000000000004E-2</v>
          </cell>
          <cell r="H475">
            <v>0.19419400000000001</v>
          </cell>
          <cell r="I475">
            <v>0</v>
          </cell>
          <cell r="J475">
            <v>0</v>
          </cell>
          <cell r="K475">
            <v>0</v>
          </cell>
          <cell r="L475">
            <v>0</v>
          </cell>
          <cell r="M475">
            <v>0.60200984841793204</v>
          </cell>
          <cell r="N475">
            <v>0</v>
          </cell>
          <cell r="O475">
            <v>0.60200984841793204</v>
          </cell>
          <cell r="P475">
            <v>6.7199999999999996E-2</v>
          </cell>
          <cell r="Q475">
            <v>0</v>
          </cell>
          <cell r="R475">
            <v>1.5158206795802128E-7</v>
          </cell>
          <cell r="S475">
            <v>0</v>
          </cell>
          <cell r="T475">
            <v>1.5158206795802128E-7</v>
          </cell>
          <cell r="U475">
            <v>0.36720000000000003</v>
          </cell>
          <cell r="V475">
            <v>1.3034040000000002</v>
          </cell>
        </row>
        <row r="476">
          <cell r="D476" t="str">
            <v>BALKANS-Total - XOM Employee SWB, M$</v>
          </cell>
          <cell r="E476">
            <v>0</v>
          </cell>
          <cell r="F476">
            <v>7.2800000000000004E-2</v>
          </cell>
          <cell r="G476">
            <v>7.2800000000000004E-2</v>
          </cell>
          <cell r="H476">
            <v>0.19419400000000001</v>
          </cell>
          <cell r="I476">
            <v>0</v>
          </cell>
          <cell r="J476">
            <v>0</v>
          </cell>
          <cell r="K476">
            <v>0</v>
          </cell>
          <cell r="L476">
            <v>0</v>
          </cell>
          <cell r="M476">
            <v>0.49880984841793208</v>
          </cell>
          <cell r="N476">
            <v>0</v>
          </cell>
          <cell r="O476">
            <v>0.49880984841793208</v>
          </cell>
          <cell r="P476">
            <v>6.7199999999999996E-2</v>
          </cell>
          <cell r="Q476">
            <v>0</v>
          </cell>
          <cell r="R476">
            <v>1.5158206795802128E-7</v>
          </cell>
          <cell r="S476">
            <v>0</v>
          </cell>
          <cell r="T476">
            <v>1.5158206795802128E-7</v>
          </cell>
          <cell r="U476">
            <v>0.36720000000000003</v>
          </cell>
          <cell r="V476">
            <v>1.2002040000000003</v>
          </cell>
        </row>
        <row r="477">
          <cell r="D477" t="str">
            <v>BALKANS-Total - Contract Employee SWB, M$</v>
          </cell>
          <cell r="E477">
            <v>0</v>
          </cell>
          <cell r="F477">
            <v>0</v>
          </cell>
          <cell r="G477">
            <v>0</v>
          </cell>
          <cell r="H477">
            <v>0</v>
          </cell>
          <cell r="I477">
            <v>0</v>
          </cell>
          <cell r="J477">
            <v>0</v>
          </cell>
          <cell r="K477">
            <v>0</v>
          </cell>
          <cell r="L477">
            <v>0</v>
          </cell>
          <cell r="M477">
            <v>0.10319999999999999</v>
          </cell>
          <cell r="N477">
            <v>0</v>
          </cell>
          <cell r="O477">
            <v>0.10319999999999999</v>
          </cell>
          <cell r="P477">
            <v>0</v>
          </cell>
          <cell r="Q477">
            <v>0</v>
          </cell>
          <cell r="R477">
            <v>0</v>
          </cell>
          <cell r="S477">
            <v>0</v>
          </cell>
          <cell r="T477">
            <v>0</v>
          </cell>
          <cell r="U477">
            <v>0</v>
          </cell>
          <cell r="V477">
            <v>0.10319999999999999</v>
          </cell>
        </row>
        <row r="478">
          <cell r="D478" t="str">
            <v>BALKANS-Total - Employee Expenses (T&amp;E), M$</v>
          </cell>
          <cell r="E478">
            <v>0</v>
          </cell>
          <cell r="F478">
            <v>1.1599999999999999E-2</v>
          </cell>
          <cell r="G478">
            <v>1.1599999999999999E-2</v>
          </cell>
          <cell r="H478">
            <v>0</v>
          </cell>
          <cell r="I478">
            <v>0</v>
          </cell>
          <cell r="J478">
            <v>0</v>
          </cell>
          <cell r="K478">
            <v>0</v>
          </cell>
          <cell r="L478">
            <v>0</v>
          </cell>
          <cell r="M478">
            <v>0.32079999999999997</v>
          </cell>
          <cell r="N478">
            <v>0</v>
          </cell>
          <cell r="O478">
            <v>0.32079999999999997</v>
          </cell>
          <cell r="P478">
            <v>2.1600000000000001E-2</v>
          </cell>
          <cell r="Q478">
            <v>0</v>
          </cell>
          <cell r="R478">
            <v>0</v>
          </cell>
          <cell r="S478">
            <v>0</v>
          </cell>
          <cell r="T478">
            <v>0</v>
          </cell>
          <cell r="U478">
            <v>4.2000000000000003E-2</v>
          </cell>
          <cell r="V478">
            <v>0.39599999999999996</v>
          </cell>
        </row>
        <row r="479">
          <cell r="D479" t="str">
            <v>BALKANS-Total - Training Expenses, M$</v>
          </cell>
          <cell r="E479">
            <v>0</v>
          </cell>
          <cell r="F479">
            <v>8.0000000000000004E-4</v>
          </cell>
          <cell r="G479">
            <v>8.0000000000000004E-4</v>
          </cell>
          <cell r="H479">
            <v>0</v>
          </cell>
          <cell r="I479">
            <v>0</v>
          </cell>
          <cell r="J479">
            <v>0</v>
          </cell>
          <cell r="K479">
            <v>0</v>
          </cell>
          <cell r="L479">
            <v>0</v>
          </cell>
          <cell r="M479">
            <v>1.1599999999999999E-2</v>
          </cell>
          <cell r="N479">
            <v>0</v>
          </cell>
          <cell r="O479">
            <v>1.1599999999999999E-2</v>
          </cell>
          <cell r="P479">
            <v>1.6000000000000001E-3</v>
          </cell>
          <cell r="Q479">
            <v>0</v>
          </cell>
          <cell r="R479">
            <v>0</v>
          </cell>
          <cell r="S479">
            <v>0</v>
          </cell>
          <cell r="T479">
            <v>0</v>
          </cell>
          <cell r="U479">
            <v>0</v>
          </cell>
          <cell r="V479">
            <v>1.4E-2</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2.0000000000000002E-5</v>
          </cell>
          <cell r="N483">
            <v>0</v>
          </cell>
          <cell r="O483">
            <v>2.0000000000000002E-5</v>
          </cell>
          <cell r="P483">
            <v>0</v>
          </cell>
          <cell r="Q483">
            <v>0</v>
          </cell>
          <cell r="R483">
            <v>0</v>
          </cell>
          <cell r="S483">
            <v>0</v>
          </cell>
          <cell r="T483">
            <v>0</v>
          </cell>
          <cell r="U483">
            <v>0</v>
          </cell>
          <cell r="V483">
            <v>2.0000000000000002E-5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9.5329999999999998E-3</v>
          </cell>
          <cell r="I487">
            <v>0</v>
          </cell>
          <cell r="J487">
            <v>0</v>
          </cell>
          <cell r="K487">
            <v>0</v>
          </cell>
          <cell r="L487">
            <v>0</v>
          </cell>
          <cell r="M487">
            <v>2.214</v>
          </cell>
          <cell r="N487">
            <v>0</v>
          </cell>
          <cell r="O487">
            <v>2.214</v>
          </cell>
          <cell r="P487">
            <v>7.1999999999999998E-3</v>
          </cell>
          <cell r="Q487">
            <v>0</v>
          </cell>
          <cell r="R487">
            <v>0</v>
          </cell>
          <cell r="S487">
            <v>0</v>
          </cell>
          <cell r="T487">
            <v>0</v>
          </cell>
          <cell r="U487">
            <v>0</v>
          </cell>
          <cell r="V487">
            <v>2.9847330000000003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8.8817841970012523E-16</v>
          </cell>
          <cell r="V488">
            <v>8.8817841970012523E-16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11.799210768035165</v>
          </cell>
          <cell r="F492">
            <v>9.8634115752018054</v>
          </cell>
          <cell r="G492">
            <v>21.662622343236972</v>
          </cell>
          <cell r="H492">
            <v>3.4040821728019788</v>
          </cell>
          <cell r="I492">
            <v>0.4305789865934001</v>
          </cell>
          <cell r="J492">
            <v>0.24286638727032983</v>
          </cell>
          <cell r="K492">
            <v>0</v>
          </cell>
          <cell r="L492">
            <v>0.67344537386372982</v>
          </cell>
          <cell r="M492">
            <v>6.5373928972402862</v>
          </cell>
          <cell r="N492">
            <v>1.6074402702107249</v>
          </cell>
          <cell r="O492">
            <v>8.1448331674510115</v>
          </cell>
          <cell r="P492">
            <v>0.56328053387129995</v>
          </cell>
          <cell r="Q492">
            <v>0.93338245052304181</v>
          </cell>
          <cell r="R492">
            <v>0.66844582596615287</v>
          </cell>
          <cell r="S492">
            <v>0.77980692823445796</v>
          </cell>
          <cell r="T492">
            <v>2.3816352047236524</v>
          </cell>
          <cell r="U492">
            <v>-2.3602394346796336</v>
          </cell>
          <cell r="V492">
            <v>34.469659361269009</v>
          </cell>
        </row>
        <row r="493">
          <cell r="D493" t="str">
            <v>BENELUX-Total - Salaries, Wage and Benefits, M$</v>
          </cell>
          <cell r="E493">
            <v>7.3082338928527477</v>
          </cell>
          <cell r="F493">
            <v>0.56611946183736261</v>
          </cell>
          <cell r="G493">
            <v>7.8743533546901112</v>
          </cell>
          <cell r="H493">
            <v>7.0489051873328581</v>
          </cell>
          <cell r="I493">
            <v>0.42541527218100006</v>
          </cell>
          <cell r="J493">
            <v>1.7702213066549448</v>
          </cell>
          <cell r="K493">
            <v>0</v>
          </cell>
          <cell r="L493">
            <v>2.1956365788359449</v>
          </cell>
          <cell r="M493">
            <v>2.8200595748628228</v>
          </cell>
          <cell r="N493">
            <v>1.05830883579711</v>
          </cell>
          <cell r="O493">
            <v>3.8783684106599328</v>
          </cell>
          <cell r="P493">
            <v>0.51813555097300001</v>
          </cell>
          <cell r="Q493">
            <v>0.98119278404824173</v>
          </cell>
          <cell r="R493">
            <v>0.42040773200845277</v>
          </cell>
          <cell r="S493">
            <v>0.23518799921675798</v>
          </cell>
          <cell r="T493">
            <v>1.6367885152734523</v>
          </cell>
          <cell r="U493">
            <v>0.3804849324610679</v>
          </cell>
          <cell r="V493">
            <v>23.532672530226368</v>
          </cell>
        </row>
        <row r="494">
          <cell r="D494" t="str">
            <v>BENELUX-Total - XOM Employee SWB, M$</v>
          </cell>
          <cell r="E494">
            <v>5.9385404763428582</v>
          </cell>
          <cell r="F494">
            <v>0.4281282813186813</v>
          </cell>
          <cell r="G494">
            <v>6.3666687576615395</v>
          </cell>
          <cell r="H494">
            <v>6.4624813338328577</v>
          </cell>
          <cell r="I494">
            <v>0.39119520720100004</v>
          </cell>
          <cell r="J494">
            <v>1.5478461538461536</v>
          </cell>
          <cell r="K494">
            <v>0</v>
          </cell>
          <cell r="L494">
            <v>1.9390413610471537</v>
          </cell>
          <cell r="M494">
            <v>2.8163046005775478</v>
          </cell>
          <cell r="N494">
            <v>1.0533090021001099</v>
          </cell>
          <cell r="O494">
            <v>3.8696136026776577</v>
          </cell>
          <cell r="P494">
            <v>0.51813555097300001</v>
          </cell>
          <cell r="Q494">
            <v>0.98119278404824173</v>
          </cell>
          <cell r="R494">
            <v>0.42040773200845277</v>
          </cell>
          <cell r="S494">
            <v>0.19602843877675799</v>
          </cell>
          <cell r="T494">
            <v>1.5976289548334524</v>
          </cell>
          <cell r="U494">
            <v>0.37790265070294693</v>
          </cell>
          <cell r="V494">
            <v>21.13147221172861</v>
          </cell>
        </row>
        <row r="495">
          <cell r="D495" t="str">
            <v>BENELUX-Total - Contract Employee SWB, M$</v>
          </cell>
          <cell r="E495">
            <v>1.36969341650989</v>
          </cell>
          <cell r="F495">
            <v>0.13799118051868131</v>
          </cell>
          <cell r="G495">
            <v>1.5076845970285713</v>
          </cell>
          <cell r="H495">
            <v>0.58642385349999993</v>
          </cell>
          <cell r="I495">
            <v>3.4220064980000006E-2</v>
          </cell>
          <cell r="J495">
            <v>0.22237515280879128</v>
          </cell>
          <cell r="K495">
            <v>0</v>
          </cell>
          <cell r="L495">
            <v>0.2565952177887913</v>
          </cell>
          <cell r="M495">
            <v>3.7549742852749997E-3</v>
          </cell>
          <cell r="N495">
            <v>4.9998336969999998E-3</v>
          </cell>
          <cell r="O495">
            <v>8.7548079822749991E-3</v>
          </cell>
          <cell r="P495">
            <v>0</v>
          </cell>
          <cell r="Q495">
            <v>0</v>
          </cell>
          <cell r="R495">
            <v>0</v>
          </cell>
          <cell r="S495">
            <v>3.9159560439999998E-2</v>
          </cell>
          <cell r="T495">
            <v>3.9159560439999998E-2</v>
          </cell>
          <cell r="U495">
            <v>2.5822817581210001E-3</v>
          </cell>
          <cell r="V495">
            <v>2.4012003184977586</v>
          </cell>
        </row>
        <row r="496">
          <cell r="D496" t="str">
            <v>BENELUX-Total - Employee Expenses (T&amp;E), M$</v>
          </cell>
          <cell r="E496">
            <v>0.19078983454945045</v>
          </cell>
          <cell r="F496">
            <v>0</v>
          </cell>
          <cell r="G496">
            <v>0.19078983454945045</v>
          </cell>
          <cell r="H496">
            <v>0.20240037390000001</v>
          </cell>
          <cell r="I496">
            <v>8.3215885070000009E-2</v>
          </cell>
          <cell r="J496">
            <v>0</v>
          </cell>
          <cell r="K496">
            <v>0</v>
          </cell>
          <cell r="L496">
            <v>8.3215885070000009E-2</v>
          </cell>
          <cell r="M496">
            <v>0.51365377197999995</v>
          </cell>
          <cell r="N496">
            <v>0.12807285800400001</v>
          </cell>
          <cell r="O496">
            <v>0.64172662998399999</v>
          </cell>
          <cell r="P496">
            <v>1.8049475530000001E-2</v>
          </cell>
          <cell r="Q496">
            <v>0.1238018103</v>
          </cell>
          <cell r="R496">
            <v>0.14687746081</v>
          </cell>
          <cell r="S496">
            <v>6.599972774E-2</v>
          </cell>
          <cell r="T496">
            <v>0.33667899885000002</v>
          </cell>
          <cell r="U496">
            <v>1.7451564887999999E-2</v>
          </cell>
          <cell r="V496">
            <v>1.4903127627714505</v>
          </cell>
        </row>
        <row r="497">
          <cell r="D497" t="str">
            <v>BENELUX-Total - Training Expenses, M$</v>
          </cell>
          <cell r="E497">
            <v>4.9465465529670322E-2</v>
          </cell>
          <cell r="F497">
            <v>0</v>
          </cell>
          <cell r="G497">
            <v>4.9465465529670322E-2</v>
          </cell>
          <cell r="H497">
            <v>3.4099572750000001E-2</v>
          </cell>
          <cell r="I497">
            <v>1.404072791E-4</v>
          </cell>
          <cell r="J497">
            <v>0</v>
          </cell>
          <cell r="K497">
            <v>0</v>
          </cell>
          <cell r="L497">
            <v>1.404072791E-4</v>
          </cell>
          <cell r="M497">
            <v>8.3486698870000001E-2</v>
          </cell>
          <cell r="N497">
            <v>2.5000000000000001E-2</v>
          </cell>
          <cell r="O497">
            <v>0.10848669887000001</v>
          </cell>
          <cell r="P497">
            <v>1.349438453E-3</v>
          </cell>
          <cell r="Q497">
            <v>0</v>
          </cell>
          <cell r="R497">
            <v>0.03</v>
          </cell>
          <cell r="S497">
            <v>7.0000000000000001E-3</v>
          </cell>
          <cell r="T497">
            <v>3.6999999999999998E-2</v>
          </cell>
          <cell r="U497">
            <v>0</v>
          </cell>
          <cell r="V497">
            <v>0.23054158288177035</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1.0650299999999999</v>
          </cell>
          <cell r="N499">
            <v>0.10293055498199999</v>
          </cell>
          <cell r="O499">
            <v>1.1679605549819998</v>
          </cell>
          <cell r="P499">
            <v>0</v>
          </cell>
          <cell r="Q499">
            <v>0</v>
          </cell>
          <cell r="R499">
            <v>6.4717453189999999E-4</v>
          </cell>
          <cell r="S499">
            <v>1.2E-2</v>
          </cell>
          <cell r="T499">
            <v>1.26471745319E-2</v>
          </cell>
          <cell r="U499">
            <v>0</v>
          </cell>
          <cell r="V499">
            <v>1.1806077295138999</v>
          </cell>
        </row>
        <row r="500">
          <cell r="D500" t="str">
            <v>BENELUX-Maintenance and Repairs, M$</v>
          </cell>
          <cell r="E500">
            <v>1.2791091695120878</v>
          </cell>
          <cell r="F500">
            <v>0</v>
          </cell>
          <cell r="G500">
            <v>1.2791091695120878</v>
          </cell>
          <cell r="H500">
            <v>0</v>
          </cell>
          <cell r="I500">
            <v>0</v>
          </cell>
          <cell r="J500">
            <v>3.2245872527472525E-3</v>
          </cell>
          <cell r="K500">
            <v>0</v>
          </cell>
          <cell r="L500">
            <v>3.2245872527472525E-3</v>
          </cell>
          <cell r="M500">
            <v>0</v>
          </cell>
          <cell r="N500">
            <v>0</v>
          </cell>
          <cell r="O500">
            <v>0</v>
          </cell>
          <cell r="P500">
            <v>0</v>
          </cell>
          <cell r="Q500">
            <v>0</v>
          </cell>
          <cell r="R500">
            <v>0</v>
          </cell>
          <cell r="S500">
            <v>0</v>
          </cell>
          <cell r="T500">
            <v>0</v>
          </cell>
          <cell r="U500">
            <v>0</v>
          </cell>
          <cell r="V500">
            <v>1.282333756764835</v>
          </cell>
        </row>
        <row r="501">
          <cell r="D501" t="str">
            <v>BENELUX-Depreciation, M$</v>
          </cell>
          <cell r="E501">
            <v>0</v>
          </cell>
          <cell r="F501">
            <v>0</v>
          </cell>
          <cell r="G501">
            <v>0</v>
          </cell>
          <cell r="H501">
            <v>0</v>
          </cell>
          <cell r="I501">
            <v>0</v>
          </cell>
          <cell r="J501">
            <v>0</v>
          </cell>
          <cell r="K501">
            <v>0</v>
          </cell>
          <cell r="L501">
            <v>0</v>
          </cell>
          <cell r="M501">
            <v>2.0000000000000002E-5</v>
          </cell>
          <cell r="N501">
            <v>0</v>
          </cell>
          <cell r="O501">
            <v>2.0000000000000002E-5</v>
          </cell>
          <cell r="P501">
            <v>0</v>
          </cell>
          <cell r="Q501">
            <v>0</v>
          </cell>
          <cell r="R501">
            <v>0</v>
          </cell>
          <cell r="S501">
            <v>0</v>
          </cell>
          <cell r="T501">
            <v>0</v>
          </cell>
          <cell r="U501">
            <v>2.5452274282856999E-2</v>
          </cell>
          <cell r="V501">
            <v>2.5472274282856998E-2</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2.9716124055912085</v>
          </cell>
          <cell r="F505">
            <v>9.2972921133644437</v>
          </cell>
          <cell r="G505">
            <v>12.268904518955653</v>
          </cell>
          <cell r="H505">
            <v>-3.8813229611808788</v>
          </cell>
          <cell r="I505">
            <v>-7.8192577936699981E-2</v>
          </cell>
          <cell r="J505">
            <v>-1.5305795066373622</v>
          </cell>
          <cell r="K505">
            <v>0</v>
          </cell>
          <cell r="L505">
            <v>-1.6087720845740621</v>
          </cell>
          <cell r="M505">
            <v>2.0551428515274641</v>
          </cell>
          <cell r="N505">
            <v>0.29312802142761496</v>
          </cell>
          <cell r="O505">
            <v>2.3482708729550792</v>
          </cell>
          <cell r="P505">
            <v>2.5746068915299999E-2</v>
          </cell>
          <cell r="Q505">
            <v>-0.17161214382519999</v>
          </cell>
          <cell r="R505">
            <v>7.0513458615800037E-2</v>
          </cell>
          <cell r="S505">
            <v>0.45961920127770001</v>
          </cell>
          <cell r="T505">
            <v>0.35852051606830004</v>
          </cell>
          <cell r="U505">
            <v>1.988976648688439</v>
          </cell>
          <cell r="V505">
            <v>11.500323579827828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-4.7726048549999973</v>
          </cell>
          <cell r="V506">
            <v>-4.7726048549999973</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1.0000000000000001E-11</v>
          </cell>
          <cell r="F510">
            <v>0.16</v>
          </cell>
          <cell r="G510">
            <v>0.16000000001</v>
          </cell>
          <cell r="H510">
            <v>0</v>
          </cell>
          <cell r="I510">
            <v>0</v>
          </cell>
          <cell r="J510">
            <v>0</v>
          </cell>
          <cell r="K510">
            <v>0</v>
          </cell>
          <cell r="L510">
            <v>0</v>
          </cell>
          <cell r="M510">
            <v>1.4770713360000001</v>
          </cell>
          <cell r="N510">
            <v>0</v>
          </cell>
          <cell r="O510">
            <v>1.4770713360000001</v>
          </cell>
          <cell r="P510">
            <v>0</v>
          </cell>
          <cell r="Q510">
            <v>0</v>
          </cell>
          <cell r="R510">
            <v>0</v>
          </cell>
          <cell r="S510">
            <v>0</v>
          </cell>
          <cell r="T510">
            <v>0</v>
          </cell>
          <cell r="U510">
            <v>-2.2204460492503131E-16</v>
          </cell>
          <cell r="V510">
            <v>1.6370713360099998</v>
          </cell>
        </row>
        <row r="511">
          <cell r="D511" t="str">
            <v>CTRL ASIA / CAUCASUS-Total - Salaries, Wage and Benefits, M$</v>
          </cell>
          <cell r="E511">
            <v>1.0000000000000001E-11</v>
          </cell>
          <cell r="F511">
            <v>0</v>
          </cell>
          <cell r="G511">
            <v>1.0000000000000001E-11</v>
          </cell>
          <cell r="H511">
            <v>0</v>
          </cell>
          <cell r="I511">
            <v>0</v>
          </cell>
          <cell r="J511">
            <v>0</v>
          </cell>
          <cell r="K511">
            <v>0</v>
          </cell>
          <cell r="L511">
            <v>0</v>
          </cell>
          <cell r="M511">
            <v>0.34164952799999998</v>
          </cell>
          <cell r="N511">
            <v>0</v>
          </cell>
          <cell r="O511">
            <v>0.34164952799999998</v>
          </cell>
          <cell r="P511">
            <v>0</v>
          </cell>
          <cell r="Q511">
            <v>0</v>
          </cell>
          <cell r="R511">
            <v>0</v>
          </cell>
          <cell r="S511">
            <v>0</v>
          </cell>
          <cell r="T511">
            <v>0</v>
          </cell>
          <cell r="U511">
            <v>0</v>
          </cell>
          <cell r="V511">
            <v>0.34164952800999998</v>
          </cell>
        </row>
        <row r="512">
          <cell r="D512" t="str">
            <v>CTRL ASIA / CAUCASUS-Total - XOM Employee SWB, M$</v>
          </cell>
          <cell r="E512">
            <v>1.0000000000000001E-11</v>
          </cell>
          <cell r="F512">
            <v>0</v>
          </cell>
          <cell r="G512">
            <v>1.0000000000000001E-11</v>
          </cell>
          <cell r="H512">
            <v>0</v>
          </cell>
          <cell r="I512">
            <v>0</v>
          </cell>
          <cell r="J512">
            <v>0</v>
          </cell>
          <cell r="K512">
            <v>0</v>
          </cell>
          <cell r="L512">
            <v>0</v>
          </cell>
          <cell r="M512">
            <v>0.34164952799999998</v>
          </cell>
          <cell r="N512">
            <v>0</v>
          </cell>
          <cell r="O512">
            <v>0.34164952799999998</v>
          </cell>
          <cell r="P512">
            <v>0</v>
          </cell>
          <cell r="Q512">
            <v>0</v>
          </cell>
          <cell r="R512">
            <v>0</v>
          </cell>
          <cell r="S512">
            <v>0</v>
          </cell>
          <cell r="T512">
            <v>0</v>
          </cell>
          <cell r="U512">
            <v>0</v>
          </cell>
          <cell r="V512">
            <v>0.34164952800999998</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0.20411499999999999</v>
          </cell>
          <cell r="N517">
            <v>0</v>
          </cell>
          <cell r="O517">
            <v>0.20411499999999999</v>
          </cell>
          <cell r="P517">
            <v>0</v>
          </cell>
          <cell r="Q517">
            <v>0</v>
          </cell>
          <cell r="R517">
            <v>0</v>
          </cell>
          <cell r="S517">
            <v>0</v>
          </cell>
          <cell r="T517">
            <v>0</v>
          </cell>
          <cell r="U517">
            <v>0</v>
          </cell>
          <cell r="V517">
            <v>0.20411499999999999</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2.0000000000000002E-5</v>
          </cell>
          <cell r="N519">
            <v>0</v>
          </cell>
          <cell r="O519">
            <v>2.0000000000000002E-5</v>
          </cell>
          <cell r="P519">
            <v>0</v>
          </cell>
          <cell r="Q519">
            <v>0</v>
          </cell>
          <cell r="R519">
            <v>0</v>
          </cell>
          <cell r="S519">
            <v>0</v>
          </cell>
          <cell r="T519">
            <v>0</v>
          </cell>
          <cell r="U519">
            <v>0</v>
          </cell>
          <cell r="V519">
            <v>2.0000000000000002E-5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0.78628680800000006</v>
          </cell>
          <cell r="N523">
            <v>0</v>
          </cell>
          <cell r="O523">
            <v>0.78628680800000006</v>
          </cell>
          <cell r="P523">
            <v>0</v>
          </cell>
          <cell r="Q523">
            <v>0</v>
          </cell>
          <cell r="R523">
            <v>0</v>
          </cell>
          <cell r="S523">
            <v>0</v>
          </cell>
          <cell r="T523">
            <v>0</v>
          </cell>
          <cell r="U523">
            <v>0</v>
          </cell>
          <cell r="V523">
            <v>0.94628680800000009</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-2.2204460492503131E-16</v>
          </cell>
          <cell r="V524">
            <v>-2.2204460492503131E-16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1.1863029999999999</v>
          </cell>
          <cell r="G528">
            <v>1.1863029999999999</v>
          </cell>
          <cell r="H528">
            <v>0.114956</v>
          </cell>
          <cell r="I528">
            <v>0</v>
          </cell>
          <cell r="J528">
            <v>0</v>
          </cell>
          <cell r="K528">
            <v>0</v>
          </cell>
          <cell r="L528">
            <v>0</v>
          </cell>
          <cell r="M528">
            <v>2.7381348641078094</v>
          </cell>
          <cell r="N528">
            <v>0</v>
          </cell>
          <cell r="O528">
            <v>2.7381348641078094</v>
          </cell>
          <cell r="P528">
            <v>6.6009999999999999E-2</v>
          </cell>
          <cell r="Q528">
            <v>3.3094098752552622E-9</v>
          </cell>
          <cell r="R528">
            <v>1.3258278080095474E-7</v>
          </cell>
          <cell r="S528">
            <v>0</v>
          </cell>
          <cell r="T528">
            <v>1.3589219067621E-7</v>
          </cell>
          <cell r="U528">
            <v>0.40555999999999998</v>
          </cell>
          <cell r="V528">
            <v>4.5109639999999995</v>
          </cell>
        </row>
        <row r="529">
          <cell r="D529" t="str">
            <v>CZECHIA-Total - Salaries, Wage and Benefits, M$</v>
          </cell>
          <cell r="E529">
            <v>0</v>
          </cell>
          <cell r="F529">
            <v>8.8829000000000005E-2</v>
          </cell>
          <cell r="G529">
            <v>8.8829000000000005E-2</v>
          </cell>
          <cell r="H529">
            <v>0.100288</v>
          </cell>
          <cell r="I529">
            <v>0</v>
          </cell>
          <cell r="J529">
            <v>0</v>
          </cell>
          <cell r="K529">
            <v>0</v>
          </cell>
          <cell r="L529">
            <v>0</v>
          </cell>
          <cell r="M529">
            <v>0.5123478641078093</v>
          </cell>
          <cell r="N529">
            <v>0</v>
          </cell>
          <cell r="O529">
            <v>0.5123478641078093</v>
          </cell>
          <cell r="P529">
            <v>2.1149999999999999E-2</v>
          </cell>
          <cell r="Q529">
            <v>3.3094098752552622E-9</v>
          </cell>
          <cell r="R529">
            <v>1.3258278080095474E-7</v>
          </cell>
          <cell r="S529">
            <v>0</v>
          </cell>
          <cell r="T529">
            <v>1.3589219067621E-7</v>
          </cell>
          <cell r="U529">
            <v>0.31956000000000001</v>
          </cell>
          <cell r="V529">
            <v>1.0421750000000001</v>
          </cell>
        </row>
        <row r="530">
          <cell r="D530" t="str">
            <v>CZECHIA-Total - XOM Employee SWB, M$</v>
          </cell>
          <cell r="E530">
            <v>0</v>
          </cell>
          <cell r="F530">
            <v>8.8829000000000005E-2</v>
          </cell>
          <cell r="G530">
            <v>8.8829000000000005E-2</v>
          </cell>
          <cell r="H530">
            <v>8.6121000000000003E-2</v>
          </cell>
          <cell r="I530">
            <v>0</v>
          </cell>
          <cell r="J530">
            <v>0</v>
          </cell>
          <cell r="K530">
            <v>0</v>
          </cell>
          <cell r="L530">
            <v>0</v>
          </cell>
          <cell r="M530">
            <v>0.5123478641078093</v>
          </cell>
          <cell r="N530">
            <v>0</v>
          </cell>
          <cell r="O530">
            <v>0.5123478641078093</v>
          </cell>
          <cell r="P530">
            <v>2.1149999999999999E-2</v>
          </cell>
          <cell r="Q530">
            <v>3.3094098752552622E-9</v>
          </cell>
          <cell r="R530">
            <v>1.3258278080095474E-7</v>
          </cell>
          <cell r="S530">
            <v>0</v>
          </cell>
          <cell r="T530">
            <v>1.3589219067621E-7</v>
          </cell>
          <cell r="U530">
            <v>0.31956000000000001</v>
          </cell>
          <cell r="V530">
            <v>1.028008</v>
          </cell>
        </row>
        <row r="531">
          <cell r="D531" t="str">
            <v>CZECHIA-Total - Contract Employee SWB, M$</v>
          </cell>
          <cell r="E531">
            <v>0</v>
          </cell>
          <cell r="F531">
            <v>0</v>
          </cell>
          <cell r="G531">
            <v>0</v>
          </cell>
          <cell r="H531">
            <v>1.4167000000000001E-2</v>
          </cell>
          <cell r="I531">
            <v>0</v>
          </cell>
          <cell r="J531">
            <v>0</v>
          </cell>
          <cell r="K531">
            <v>0</v>
          </cell>
          <cell r="L531">
            <v>0</v>
          </cell>
          <cell r="M531">
            <v>0</v>
          </cell>
          <cell r="N531">
            <v>0</v>
          </cell>
          <cell r="O531">
            <v>0</v>
          </cell>
          <cell r="P531">
            <v>0</v>
          </cell>
          <cell r="Q531">
            <v>0</v>
          </cell>
          <cell r="R531">
            <v>0</v>
          </cell>
          <cell r="S531">
            <v>0</v>
          </cell>
          <cell r="T531">
            <v>0</v>
          </cell>
          <cell r="U531">
            <v>0</v>
          </cell>
          <cell r="V531">
            <v>1.4167000000000001E-2</v>
          </cell>
        </row>
        <row r="532">
          <cell r="D532" t="str">
            <v>CZECHIA-Total - Employee Expenses (T&amp;E), M$</v>
          </cell>
          <cell r="E532">
            <v>0</v>
          </cell>
          <cell r="F532">
            <v>4.4999999999999997E-3</v>
          </cell>
          <cell r="G532">
            <v>4.4999999999999997E-3</v>
          </cell>
          <cell r="H532">
            <v>0</v>
          </cell>
          <cell r="I532">
            <v>0</v>
          </cell>
          <cell r="J532">
            <v>0</v>
          </cell>
          <cell r="K532">
            <v>0</v>
          </cell>
          <cell r="L532">
            <v>0</v>
          </cell>
          <cell r="M532">
            <v>0.35827200000000003</v>
          </cell>
          <cell r="N532">
            <v>0</v>
          </cell>
          <cell r="O532">
            <v>0.35827200000000003</v>
          </cell>
          <cell r="P532">
            <v>3.3360000000000001E-2</v>
          </cell>
          <cell r="Q532">
            <v>0</v>
          </cell>
          <cell r="R532">
            <v>0</v>
          </cell>
          <cell r="S532">
            <v>0</v>
          </cell>
          <cell r="T532">
            <v>0</v>
          </cell>
          <cell r="U532">
            <v>4.4999999999999998E-2</v>
          </cell>
          <cell r="V532">
            <v>0.44113200000000002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0.70226500000000003</v>
          </cell>
          <cell r="N535">
            <v>0</v>
          </cell>
          <cell r="O535">
            <v>0.70226500000000003</v>
          </cell>
          <cell r="P535">
            <v>0</v>
          </cell>
          <cell r="Q535">
            <v>0</v>
          </cell>
          <cell r="R535">
            <v>0</v>
          </cell>
          <cell r="S535">
            <v>0</v>
          </cell>
          <cell r="T535">
            <v>0</v>
          </cell>
          <cell r="U535">
            <v>0</v>
          </cell>
          <cell r="V535">
            <v>0.70226500000000003</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2.0000000000000002E-5</v>
          </cell>
          <cell r="N537">
            <v>0</v>
          </cell>
          <cell r="O537">
            <v>2.0000000000000002E-5</v>
          </cell>
          <cell r="P537">
            <v>0</v>
          </cell>
          <cell r="Q537">
            <v>0</v>
          </cell>
          <cell r="R537">
            <v>0</v>
          </cell>
          <cell r="S537">
            <v>0</v>
          </cell>
          <cell r="T537">
            <v>0</v>
          </cell>
          <cell r="U537">
            <v>0</v>
          </cell>
          <cell r="V537">
            <v>2.0000000000000002E-5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1.0929739999999999</v>
          </cell>
          <cell r="G541">
            <v>1.0929739999999999</v>
          </cell>
          <cell r="H541">
            <v>1.4668E-2</v>
          </cell>
          <cell r="I541">
            <v>0</v>
          </cell>
          <cell r="J541">
            <v>0</v>
          </cell>
          <cell r="K541">
            <v>0</v>
          </cell>
          <cell r="L541">
            <v>0</v>
          </cell>
          <cell r="M541">
            <v>1.16523</v>
          </cell>
          <cell r="N541">
            <v>0</v>
          </cell>
          <cell r="O541">
            <v>1.16523</v>
          </cell>
          <cell r="P541">
            <v>1.15E-2</v>
          </cell>
          <cell r="Q541">
            <v>0</v>
          </cell>
          <cell r="R541">
            <v>0</v>
          </cell>
          <cell r="S541">
            <v>0</v>
          </cell>
          <cell r="T541">
            <v>0</v>
          </cell>
          <cell r="U541">
            <v>4.1000000000000002E-2</v>
          </cell>
          <cell r="V541">
            <v>2.3253719999999993</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0.69528595000000015</v>
          </cell>
          <cell r="I546">
            <v>0.21631931679999999</v>
          </cell>
          <cell r="J546">
            <v>0</v>
          </cell>
          <cell r="K546">
            <v>0</v>
          </cell>
          <cell r="L546">
            <v>0.21631931679999999</v>
          </cell>
          <cell r="M546">
            <v>3.0053785764000001</v>
          </cell>
          <cell r="N546">
            <v>0.76026666279999988</v>
          </cell>
          <cell r="O546">
            <v>3.7656452392000004</v>
          </cell>
          <cell r="P546">
            <v>0.24571356159999999</v>
          </cell>
          <cell r="Q546">
            <v>0</v>
          </cell>
          <cell r="R546">
            <v>-3.2340564E-3</v>
          </cell>
          <cell r="S546">
            <v>0</v>
          </cell>
          <cell r="T546">
            <v>-3.2340564E-3</v>
          </cell>
          <cell r="U546">
            <v>-1.5065721205999985</v>
          </cell>
          <cell r="V546">
            <v>4.8274381586000015</v>
          </cell>
        </row>
        <row r="547">
          <cell r="D547" t="str">
            <v>DENMARK-Total - Salaries, Wage and Benefits, M$</v>
          </cell>
          <cell r="E547">
            <v>0</v>
          </cell>
          <cell r="F547">
            <v>3.8394999999999999E-2</v>
          </cell>
          <cell r="G547">
            <v>3.8394999999999999E-2</v>
          </cell>
          <cell r="H547">
            <v>0.651999</v>
          </cell>
          <cell r="I547">
            <v>0.109002</v>
          </cell>
          <cell r="J547">
            <v>0</v>
          </cell>
          <cell r="K547">
            <v>0</v>
          </cell>
          <cell r="L547">
            <v>0.109002</v>
          </cell>
          <cell r="M547">
            <v>1.300225446</v>
          </cell>
          <cell r="N547">
            <v>0.43331958039999996</v>
          </cell>
          <cell r="O547">
            <v>1.7335450264000001</v>
          </cell>
          <cell r="P547">
            <v>0.16</v>
          </cell>
          <cell r="Q547">
            <v>0</v>
          </cell>
          <cell r="R547">
            <v>0</v>
          </cell>
          <cell r="S547">
            <v>0</v>
          </cell>
          <cell r="T547">
            <v>0</v>
          </cell>
          <cell r="U547">
            <v>7.5536000000000006E-2</v>
          </cell>
          <cell r="V547">
            <v>2.7684770264000003</v>
          </cell>
        </row>
        <row r="548">
          <cell r="D548" t="str">
            <v>DENMARK-Total - XOM Employee SWB, M$</v>
          </cell>
          <cell r="E548">
            <v>0</v>
          </cell>
          <cell r="F548">
            <v>3.8394999999999999E-2</v>
          </cell>
          <cell r="G548">
            <v>3.8394999999999999E-2</v>
          </cell>
          <cell r="H548">
            <v>0.651999</v>
          </cell>
          <cell r="I548">
            <v>9.6095E-2</v>
          </cell>
          <cell r="J548">
            <v>0</v>
          </cell>
          <cell r="K548">
            <v>0</v>
          </cell>
          <cell r="L548">
            <v>9.6095E-2</v>
          </cell>
          <cell r="M548">
            <v>1.298425446</v>
          </cell>
          <cell r="N548">
            <v>0.43331958039999996</v>
          </cell>
          <cell r="O548">
            <v>1.7317450264000001</v>
          </cell>
          <cell r="P548">
            <v>0.16</v>
          </cell>
          <cell r="Q548">
            <v>0</v>
          </cell>
          <cell r="R548">
            <v>0</v>
          </cell>
          <cell r="S548">
            <v>0</v>
          </cell>
          <cell r="T548">
            <v>0</v>
          </cell>
          <cell r="U548">
            <v>7.5536000000000006E-2</v>
          </cell>
          <cell r="V548">
            <v>2.7537700264000002</v>
          </cell>
        </row>
        <row r="549">
          <cell r="D549" t="str">
            <v>DENMARK-Total - Contract Employee SWB, M$</v>
          </cell>
          <cell r="E549">
            <v>0</v>
          </cell>
          <cell r="F549">
            <v>0</v>
          </cell>
          <cell r="G549">
            <v>0</v>
          </cell>
          <cell r="H549">
            <v>0</v>
          </cell>
          <cell r="I549">
            <v>1.2907E-2</v>
          </cell>
          <cell r="J549">
            <v>0</v>
          </cell>
          <cell r="K549">
            <v>0</v>
          </cell>
          <cell r="L549">
            <v>1.2907E-2</v>
          </cell>
          <cell r="M549">
            <v>1.8E-3</v>
          </cell>
          <cell r="N549">
            <v>0</v>
          </cell>
          <cell r="O549">
            <v>1.8E-3</v>
          </cell>
          <cell r="P549">
            <v>0</v>
          </cell>
          <cell r="Q549">
            <v>0</v>
          </cell>
          <cell r="R549">
            <v>0</v>
          </cell>
          <cell r="S549">
            <v>0</v>
          </cell>
          <cell r="T549">
            <v>0</v>
          </cell>
          <cell r="U549">
            <v>0</v>
          </cell>
          <cell r="V549">
            <v>1.4707E-2</v>
          </cell>
        </row>
        <row r="550">
          <cell r="D550" t="str">
            <v>DENMARK-Total - Employee Expenses (T&amp;E), M$</v>
          </cell>
          <cell r="E550">
            <v>0</v>
          </cell>
          <cell r="F550">
            <v>0</v>
          </cell>
          <cell r="G550">
            <v>0</v>
          </cell>
          <cell r="H550">
            <v>1.4708000000000001E-2</v>
          </cell>
          <cell r="I550">
            <v>0.01</v>
          </cell>
          <cell r="J550">
            <v>0</v>
          </cell>
          <cell r="K550">
            <v>0</v>
          </cell>
          <cell r="L550">
            <v>0.01</v>
          </cell>
          <cell r="M550">
            <v>0.20900036399999999</v>
          </cell>
          <cell r="N550">
            <v>4.0754941199999999E-2</v>
          </cell>
          <cell r="O550">
            <v>0.2497553052</v>
          </cell>
          <cell r="P550">
            <v>2.4E-2</v>
          </cell>
          <cell r="Q550">
            <v>0</v>
          </cell>
          <cell r="R550">
            <v>0</v>
          </cell>
          <cell r="S550">
            <v>0</v>
          </cell>
          <cell r="T550">
            <v>0</v>
          </cell>
          <cell r="U550">
            <v>2E-3</v>
          </cell>
          <cell r="V550">
            <v>0.30046330520000003</v>
          </cell>
        </row>
        <row r="551">
          <cell r="D551" t="str">
            <v>DENMARK-Total - Training Expenses, M$</v>
          </cell>
          <cell r="E551">
            <v>0</v>
          </cell>
          <cell r="F551">
            <v>0</v>
          </cell>
          <cell r="G551">
            <v>0</v>
          </cell>
          <cell r="H551">
            <v>1.774E-3</v>
          </cell>
          <cell r="I551">
            <v>0</v>
          </cell>
          <cell r="J551">
            <v>0</v>
          </cell>
          <cell r="K551">
            <v>0</v>
          </cell>
          <cell r="L551">
            <v>0</v>
          </cell>
          <cell r="M551">
            <v>0</v>
          </cell>
          <cell r="N551">
            <v>0</v>
          </cell>
          <cell r="O551">
            <v>0</v>
          </cell>
          <cell r="P551">
            <v>0</v>
          </cell>
          <cell r="Q551">
            <v>0</v>
          </cell>
          <cell r="R551">
            <v>0</v>
          </cell>
          <cell r="S551">
            <v>0</v>
          </cell>
          <cell r="T551">
            <v>0</v>
          </cell>
          <cell r="U551">
            <v>0</v>
          </cell>
          <cell r="V551">
            <v>1.774E-3</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0.28909799999999997</v>
          </cell>
          <cell r="N553">
            <v>9.1799999999999998E-4</v>
          </cell>
          <cell r="O553">
            <v>0.29001599999999994</v>
          </cell>
          <cell r="P553">
            <v>0</v>
          </cell>
          <cell r="Q553">
            <v>0</v>
          </cell>
          <cell r="R553">
            <v>0</v>
          </cell>
          <cell r="S553">
            <v>0</v>
          </cell>
          <cell r="T553">
            <v>0</v>
          </cell>
          <cell r="U553">
            <v>0</v>
          </cell>
          <cell r="V553">
            <v>0.29001599999999994</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2.0000000000000002E-5</v>
          </cell>
          <cell r="N555">
            <v>0</v>
          </cell>
          <cell r="O555">
            <v>2.0000000000000002E-5</v>
          </cell>
          <cell r="P555">
            <v>0</v>
          </cell>
          <cell r="Q555">
            <v>0</v>
          </cell>
          <cell r="R555">
            <v>0</v>
          </cell>
          <cell r="S555">
            <v>0</v>
          </cell>
          <cell r="T555">
            <v>0</v>
          </cell>
          <cell r="U555">
            <v>1.7349119999999999E-2</v>
          </cell>
          <cell r="V555">
            <v>1.7369119999999998E-2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2.6804950000000001E-2</v>
          </cell>
          <cell r="I559">
            <v>9.7317316799999998E-2</v>
          </cell>
          <cell r="J559">
            <v>0</v>
          </cell>
          <cell r="K559">
            <v>0</v>
          </cell>
          <cell r="L559">
            <v>9.7317316799999998E-2</v>
          </cell>
          <cell r="M559">
            <v>1.2070347664000001</v>
          </cell>
          <cell r="N559">
            <v>0.2852741412</v>
          </cell>
          <cell r="O559">
            <v>1.4923089076</v>
          </cell>
          <cell r="P559">
            <v>6.1713561600000001E-2</v>
          </cell>
          <cell r="Q559">
            <v>0</v>
          </cell>
          <cell r="R559">
            <v>-3.2340564E-3</v>
          </cell>
          <cell r="S559">
            <v>0</v>
          </cell>
          <cell r="T559">
            <v>-3.2340564E-3</v>
          </cell>
          <cell r="U559">
            <v>0.11389513640000001</v>
          </cell>
          <cell r="V559">
            <v>3.1646910839999998</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-1.7153523769999985</v>
          </cell>
          <cell r="V560">
            <v>-1.7153523769999985</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7.6912285297230012</v>
          </cell>
          <cell r="F564">
            <v>3.3768832096306998</v>
          </cell>
          <cell r="G564">
            <v>11.068111739353702</v>
          </cell>
          <cell r="H564">
            <v>0.90795161400100022</v>
          </cell>
          <cell r="I564">
            <v>0.23824782821699997</v>
          </cell>
          <cell r="J564">
            <v>0.55103020444469997</v>
          </cell>
          <cell r="K564">
            <v>0</v>
          </cell>
          <cell r="L564">
            <v>0.78927803266170005</v>
          </cell>
          <cell r="M564">
            <v>12.823533794629247</v>
          </cell>
          <cell r="N564">
            <v>0.24881546187270004</v>
          </cell>
          <cell r="O564">
            <v>13.072349256501948</v>
          </cell>
          <cell r="P564">
            <v>0.2026022099125</v>
          </cell>
          <cell r="Q564">
            <v>1.0293857017000013E-3</v>
          </cell>
          <cell r="R564">
            <v>3.6960187122154708E-2</v>
          </cell>
          <cell r="S564">
            <v>0.27685050232389996</v>
          </cell>
          <cell r="T564">
            <v>0.31484007514775469</v>
          </cell>
          <cell r="U564">
            <v>-0.37791203958000064</v>
          </cell>
          <cell r="V564">
            <v>25.977220887998602</v>
          </cell>
        </row>
        <row r="565">
          <cell r="D565" t="str">
            <v>FINLAND-Total - Salaries, Wage and Benefits, M$</v>
          </cell>
          <cell r="E565">
            <v>5.5267146957140003</v>
          </cell>
          <cell r="F565">
            <v>0.4</v>
          </cell>
          <cell r="G565">
            <v>5.9267146957140007</v>
          </cell>
          <cell r="H565">
            <v>1.4153428190100001</v>
          </cell>
          <cell r="I565">
            <v>7.7290999999999999E-2</v>
          </cell>
          <cell r="J565">
            <v>0.61980098320999999</v>
          </cell>
          <cell r="K565">
            <v>0</v>
          </cell>
          <cell r="L565">
            <v>0.69709198320999999</v>
          </cell>
          <cell r="M565">
            <v>2.7685148321153452</v>
          </cell>
          <cell r="N565">
            <v>-0.11027184689299999</v>
          </cell>
          <cell r="O565">
            <v>2.658242985222345</v>
          </cell>
          <cell r="P565">
            <v>0.10176300000000001</v>
          </cell>
          <cell r="Q565">
            <v>0</v>
          </cell>
          <cell r="R565">
            <v>1.5236912965471466E-4</v>
          </cell>
          <cell r="S565">
            <v>0.12823015538999999</v>
          </cell>
          <cell r="T565">
            <v>0.12838252451965471</v>
          </cell>
          <cell r="U565">
            <v>0.18384300000000001</v>
          </cell>
          <cell r="V565">
            <v>11.111381007676002</v>
          </cell>
        </row>
        <row r="566">
          <cell r="D566" t="str">
            <v>FINLAND-Total - XOM Employee SWB, M$</v>
          </cell>
          <cell r="E566">
            <v>5.2747726503740004</v>
          </cell>
          <cell r="F566">
            <v>0.4</v>
          </cell>
          <cell r="G566">
            <v>5.6747726503740008</v>
          </cell>
          <cell r="H566">
            <v>1.4002038190100001</v>
          </cell>
          <cell r="I566">
            <v>7.7290999999999999E-2</v>
          </cell>
          <cell r="J566">
            <v>0.54501186714999994</v>
          </cell>
          <cell r="K566">
            <v>0</v>
          </cell>
          <cell r="L566">
            <v>0.62230286714999994</v>
          </cell>
          <cell r="M566">
            <v>2.6647371357153453</v>
          </cell>
          <cell r="N566">
            <v>-0.11027184689299999</v>
          </cell>
          <cell r="O566">
            <v>2.5544652888223451</v>
          </cell>
          <cell r="P566">
            <v>0.10176300000000001</v>
          </cell>
          <cell r="Q566">
            <v>0</v>
          </cell>
          <cell r="R566">
            <v>1.5236912965471466E-4</v>
          </cell>
          <cell r="S566">
            <v>0.12823015538999999</v>
          </cell>
          <cell r="T566">
            <v>0.12838252451965471</v>
          </cell>
          <cell r="U566">
            <v>0.18384300000000001</v>
          </cell>
          <cell r="V566">
            <v>10.665733149876003</v>
          </cell>
        </row>
        <row r="567">
          <cell r="D567" t="str">
            <v>FINLAND-Total - Contract Employee SWB, M$</v>
          </cell>
          <cell r="E567">
            <v>0.25194204533999998</v>
          </cell>
          <cell r="F567">
            <v>0</v>
          </cell>
          <cell r="G567">
            <v>0.25194204533999998</v>
          </cell>
          <cell r="H567">
            <v>1.5139E-2</v>
          </cell>
          <cell r="I567">
            <v>0</v>
          </cell>
          <cell r="J567">
            <v>7.4789116059999994E-2</v>
          </cell>
          <cell r="K567">
            <v>0</v>
          </cell>
          <cell r="L567">
            <v>7.4789116059999994E-2</v>
          </cell>
          <cell r="M567">
            <v>0.10377769639999998</v>
          </cell>
          <cell r="N567">
            <v>0</v>
          </cell>
          <cell r="O567">
            <v>0.10377769639999998</v>
          </cell>
          <cell r="P567">
            <v>0</v>
          </cell>
          <cell r="Q567">
            <v>0</v>
          </cell>
          <cell r="R567">
            <v>0</v>
          </cell>
          <cell r="S567">
            <v>0</v>
          </cell>
          <cell r="T567">
            <v>0</v>
          </cell>
          <cell r="U567">
            <v>0</v>
          </cell>
          <cell r="V567">
            <v>0.44564785779999994</v>
          </cell>
        </row>
        <row r="568">
          <cell r="D568" t="str">
            <v>FINLAND-Total - Employee Expenses (T&amp;E), M$</v>
          </cell>
          <cell r="E568">
            <v>4.7098898356400007E-2</v>
          </cell>
          <cell r="F568">
            <v>0</v>
          </cell>
          <cell r="G568">
            <v>4.7098898356400007E-2</v>
          </cell>
          <cell r="H568">
            <v>6.1122000000000003E-2</v>
          </cell>
          <cell r="I568">
            <v>0.01</v>
          </cell>
          <cell r="J568">
            <v>1.2E-2</v>
          </cell>
          <cell r="K568">
            <v>0</v>
          </cell>
          <cell r="L568">
            <v>2.1999999999999999E-2</v>
          </cell>
          <cell r="M568">
            <v>0.57609435554999999</v>
          </cell>
          <cell r="N568">
            <v>3.218337927E-2</v>
          </cell>
          <cell r="O568">
            <v>0.60827773482000003</v>
          </cell>
          <cell r="P568">
            <v>0.05</v>
          </cell>
          <cell r="Q568">
            <v>-1.4105304999999861E-4</v>
          </cell>
          <cell r="R568">
            <v>1.8074999999953434E-7</v>
          </cell>
          <cell r="S568">
            <v>4.9349763515999998E-2</v>
          </cell>
          <cell r="T568">
            <v>4.9208891216E-2</v>
          </cell>
          <cell r="U568">
            <v>2.5000000000000001E-2</v>
          </cell>
          <cell r="V568">
            <v>0.86270752439239995</v>
          </cell>
        </row>
        <row r="569">
          <cell r="D569" t="str">
            <v>FINLAND-Total - Training Expenses, M$</v>
          </cell>
          <cell r="E569">
            <v>2.9093612307700002E-2</v>
          </cell>
          <cell r="F569">
            <v>0</v>
          </cell>
          <cell r="G569">
            <v>2.9093612307700002E-2</v>
          </cell>
          <cell r="H569">
            <v>2.415E-3</v>
          </cell>
          <cell r="I569">
            <v>0</v>
          </cell>
          <cell r="J569">
            <v>0.01</v>
          </cell>
          <cell r="K569">
            <v>0</v>
          </cell>
          <cell r="L569">
            <v>0.01</v>
          </cell>
          <cell r="M569">
            <v>2.196E-3</v>
          </cell>
          <cell r="N569">
            <v>0</v>
          </cell>
          <cell r="O569">
            <v>2.196E-3</v>
          </cell>
          <cell r="P569">
            <v>0</v>
          </cell>
          <cell r="Q569">
            <v>0</v>
          </cell>
          <cell r="R569">
            <v>0</v>
          </cell>
          <cell r="S569">
            <v>0</v>
          </cell>
          <cell r="T569">
            <v>0</v>
          </cell>
          <cell r="U569">
            <v>0</v>
          </cell>
          <cell r="V569">
            <v>4.3704612307700008E-2</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3.1523662209999997E-2</v>
          </cell>
          <cell r="S571">
            <v>6.9468790150000008E-3</v>
          </cell>
          <cell r="T571">
            <v>3.8470541225000002E-2</v>
          </cell>
          <cell r="U571">
            <v>0</v>
          </cell>
          <cell r="V571">
            <v>1.6048355412249999</v>
          </cell>
        </row>
        <row r="572">
          <cell r="D572" t="str">
            <v>FINLAND-Maintenance and Repairs, M$</v>
          </cell>
          <cell r="E572">
            <v>0.38</v>
          </cell>
          <cell r="F572">
            <v>0</v>
          </cell>
          <cell r="G572">
            <v>0.38</v>
          </cell>
          <cell r="H572">
            <v>0</v>
          </cell>
          <cell r="I572">
            <v>0</v>
          </cell>
          <cell r="J572">
            <v>1.2999999999999999E-2</v>
          </cell>
          <cell r="K572">
            <v>0</v>
          </cell>
          <cell r="L572">
            <v>1.2999999999999999E-2</v>
          </cell>
          <cell r="M572">
            <v>0</v>
          </cell>
          <cell r="N572">
            <v>0</v>
          </cell>
          <cell r="O572">
            <v>0</v>
          </cell>
          <cell r="P572">
            <v>0</v>
          </cell>
          <cell r="Q572">
            <v>0</v>
          </cell>
          <cell r="R572">
            <v>0</v>
          </cell>
          <cell r="S572">
            <v>0</v>
          </cell>
          <cell r="T572">
            <v>0</v>
          </cell>
          <cell r="U572">
            <v>0</v>
          </cell>
          <cell r="V572">
            <v>0.39300000000000002</v>
          </cell>
        </row>
        <row r="573">
          <cell r="D573" t="str">
            <v>FINLAND-Depreciation, M$</v>
          </cell>
          <cell r="E573">
            <v>0</v>
          </cell>
          <cell r="F573">
            <v>0</v>
          </cell>
          <cell r="G573">
            <v>0</v>
          </cell>
          <cell r="H573">
            <v>0</v>
          </cell>
          <cell r="I573">
            <v>1.4907639560000001E-3</v>
          </cell>
          <cell r="J573">
            <v>0</v>
          </cell>
          <cell r="K573">
            <v>0</v>
          </cell>
          <cell r="L573">
            <v>1.4907639560000001E-3</v>
          </cell>
          <cell r="M573">
            <v>2.0000000000000002E-5</v>
          </cell>
          <cell r="N573">
            <v>0</v>
          </cell>
          <cell r="O573">
            <v>2.0000000000000002E-5</v>
          </cell>
          <cell r="P573">
            <v>0</v>
          </cell>
          <cell r="Q573">
            <v>0</v>
          </cell>
          <cell r="R573">
            <v>0</v>
          </cell>
          <cell r="S573">
            <v>0</v>
          </cell>
          <cell r="T573">
            <v>0</v>
          </cell>
          <cell r="U573">
            <v>1.062439385E-2</v>
          </cell>
          <cell r="V573">
            <v>1.2135157806E-2</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1.7083213233449011</v>
          </cell>
          <cell r="F577">
            <v>2.9768832096306999</v>
          </cell>
          <cell r="G577">
            <v>4.6852045329756011</v>
          </cell>
          <cell r="H577">
            <v>-0.57092820500899988</v>
          </cell>
          <cell r="I577">
            <v>0.14946606426099998</v>
          </cell>
          <cell r="J577">
            <v>-0.1037707787653</v>
          </cell>
          <cell r="K577">
            <v>0</v>
          </cell>
          <cell r="L577">
            <v>4.5695285495699983E-2</v>
          </cell>
          <cell r="M577">
            <v>7.9103436069639015</v>
          </cell>
          <cell r="N577">
            <v>0.32690392949570002</v>
          </cell>
          <cell r="O577">
            <v>8.2372475364596021</v>
          </cell>
          <cell r="P577">
            <v>5.0839209912500002E-2</v>
          </cell>
          <cell r="Q577">
            <v>1.1704387517E-3</v>
          </cell>
          <cell r="R577">
            <v>5.2839750324999999E-3</v>
          </cell>
          <cell r="S577">
            <v>9.2323704402899998E-2</v>
          </cell>
          <cell r="T577">
            <v>9.87781181871E-2</v>
          </cell>
          <cell r="U577">
            <v>0.14867958777000001</v>
          </cell>
          <cell r="V577">
            <v>12.695516065791502</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-0.74605902120000067</v>
          </cell>
          <cell r="V578">
            <v>-0.74605902120000067</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62.352571587519563</v>
          </cell>
          <cell r="F582">
            <v>41.486538605824592</v>
          </cell>
          <cell r="G582">
            <v>103.83911019334414</v>
          </cell>
          <cell r="H582">
            <v>10.301656999999999</v>
          </cell>
          <cell r="I582">
            <v>0.17849650068901102</v>
          </cell>
          <cell r="J582">
            <v>2.7578688434989003</v>
          </cell>
          <cell r="K582">
            <v>0</v>
          </cell>
          <cell r="L582">
            <v>2.9363653441879114</v>
          </cell>
          <cell r="M582">
            <v>34.178263835674883</v>
          </cell>
          <cell r="N582">
            <v>1.634193874537607</v>
          </cell>
          <cell r="O582">
            <v>35.812457710212492</v>
          </cell>
          <cell r="P582">
            <v>0.40010612141483493</v>
          </cell>
          <cell r="Q582">
            <v>0.32345062192500001</v>
          </cell>
          <cell r="R582">
            <v>1.9183771062420529</v>
          </cell>
          <cell r="S582">
            <v>6.2370498562461538</v>
          </cell>
          <cell r="T582">
            <v>8.4788775844132083</v>
          </cell>
          <cell r="U582">
            <v>-1.3698660452221536</v>
          </cell>
          <cell r="V582">
            <v>160.39870790835045</v>
          </cell>
        </row>
        <row r="583">
          <cell r="D583" t="str">
            <v>FRANCE-Total - Salaries, Wage and Benefits, M$</v>
          </cell>
          <cell r="E583">
            <v>13.83900123867082</v>
          </cell>
          <cell r="F583">
            <v>1.7744171973098901</v>
          </cell>
          <cell r="G583">
            <v>15.61341843598071</v>
          </cell>
          <cell r="H583">
            <v>10.207293999999999</v>
          </cell>
          <cell r="I583">
            <v>0.1829492097</v>
          </cell>
          <cell r="J583">
            <v>1.6526489572043956</v>
          </cell>
          <cell r="K583">
            <v>0</v>
          </cell>
          <cell r="L583">
            <v>1.8355981669043957</v>
          </cell>
          <cell r="M583">
            <v>16.965345387955999</v>
          </cell>
          <cell r="N583">
            <v>0.73789131561999999</v>
          </cell>
          <cell r="O583">
            <v>17.703236703575996</v>
          </cell>
          <cell r="P583">
            <v>0.82950367879999998</v>
          </cell>
          <cell r="Q583">
            <v>0.21516913999099999</v>
          </cell>
          <cell r="R583">
            <v>1.4988958145769</v>
          </cell>
          <cell r="S583">
            <v>2.3089999999999997</v>
          </cell>
          <cell r="T583">
            <v>4.0230649545679</v>
          </cell>
          <cell r="U583">
            <v>2.8391206254198003</v>
          </cell>
          <cell r="V583">
            <v>53.0512365652488</v>
          </cell>
        </row>
        <row r="584">
          <cell r="D584" t="str">
            <v>FRANCE-Total - XOM Employee SWB, M$</v>
          </cell>
          <cell r="E584">
            <v>12.466496230108183</v>
          </cell>
          <cell r="F584">
            <v>1.7361202520967034</v>
          </cell>
          <cell r="G584">
            <v>14.202616482204887</v>
          </cell>
          <cell r="H584">
            <v>9.9478779999999993</v>
          </cell>
          <cell r="I584">
            <v>0.1829492097</v>
          </cell>
          <cell r="J584">
            <v>1.3387727983472528</v>
          </cell>
          <cell r="K584">
            <v>0</v>
          </cell>
          <cell r="L584">
            <v>1.5217220080472529</v>
          </cell>
          <cell r="M584">
            <v>15.931032623999998</v>
          </cell>
          <cell r="N584">
            <v>0.73789131561999999</v>
          </cell>
          <cell r="O584">
            <v>16.668923939619997</v>
          </cell>
          <cell r="P584">
            <v>0.82950367879999998</v>
          </cell>
          <cell r="Q584">
            <v>0.21</v>
          </cell>
          <cell r="R584">
            <v>1.4981795811</v>
          </cell>
          <cell r="S584">
            <v>2.2349999999999999</v>
          </cell>
          <cell r="T584">
            <v>3.9431795810999999</v>
          </cell>
          <cell r="U584">
            <v>2.7999922136000004</v>
          </cell>
          <cell r="V584">
            <v>49.913815903372132</v>
          </cell>
        </row>
        <row r="585">
          <cell r="D585" t="str">
            <v>FRANCE-Total - Contract Employee SWB, M$</v>
          </cell>
          <cell r="E585">
            <v>1.3725050085626374</v>
          </cell>
          <cell r="F585">
            <v>3.82969452131868E-2</v>
          </cell>
          <cell r="G585">
            <v>1.4108019537758241</v>
          </cell>
          <cell r="H585">
            <v>0.25941599999999998</v>
          </cell>
          <cell r="I585">
            <v>0</v>
          </cell>
          <cell r="J585">
            <v>0.31387615885714282</v>
          </cell>
          <cell r="K585">
            <v>0</v>
          </cell>
          <cell r="L585">
            <v>0.31387615885714282</v>
          </cell>
          <cell r="M585">
            <v>1.0343127639559999</v>
          </cell>
          <cell r="N585">
            <v>0</v>
          </cell>
          <cell r="O585">
            <v>1.0343127639559999</v>
          </cell>
          <cell r="P585">
            <v>0</v>
          </cell>
          <cell r="Q585">
            <v>5.1691399909999996E-3</v>
          </cell>
          <cell r="R585">
            <v>7.162334769E-4</v>
          </cell>
          <cell r="S585">
            <v>7.3999999999999996E-2</v>
          </cell>
          <cell r="T585">
            <v>7.9885373467899992E-2</v>
          </cell>
          <cell r="U585">
            <v>3.9128411819800007E-2</v>
          </cell>
          <cell r="V585">
            <v>3.1374206618766669</v>
          </cell>
        </row>
        <row r="586">
          <cell r="D586" t="str">
            <v>FRANCE-Total - Employee Expenses (T&amp;E), M$</v>
          </cell>
          <cell r="E586">
            <v>0.43961133673846159</v>
          </cell>
          <cell r="F586">
            <v>1.6200026901098902E-3</v>
          </cell>
          <cell r="G586">
            <v>0.44123133942857146</v>
          </cell>
          <cell r="H586">
            <v>0</v>
          </cell>
          <cell r="I586">
            <v>1.4E-2</v>
          </cell>
          <cell r="J586">
            <v>1.9729242725274727E-2</v>
          </cell>
          <cell r="K586">
            <v>0</v>
          </cell>
          <cell r="L586">
            <v>3.3729242725274729E-2</v>
          </cell>
          <cell r="M586">
            <v>1.998475</v>
          </cell>
          <cell r="N586">
            <v>0.17013642113000002</v>
          </cell>
          <cell r="O586">
            <v>2.16861142113</v>
          </cell>
          <cell r="P586">
            <v>0.11920366860000001</v>
          </cell>
          <cell r="Q586">
            <v>3.39E-2</v>
          </cell>
          <cell r="R586">
            <v>0.15529519792999999</v>
          </cell>
          <cell r="S586">
            <v>0.54700000000000004</v>
          </cell>
          <cell r="T586">
            <v>0.7361951979300001</v>
          </cell>
          <cell r="U586">
            <v>0.34928997366000003</v>
          </cell>
          <cell r="V586">
            <v>3.8482608434738466</v>
          </cell>
        </row>
        <row r="587">
          <cell r="D587" t="str">
            <v>FRANCE-Total - Training Expenses, M$</v>
          </cell>
          <cell r="E587">
            <v>7.9877067956043973E-3</v>
          </cell>
          <cell r="F587">
            <v>0</v>
          </cell>
          <cell r="G587">
            <v>7.9877067956043973E-3</v>
          </cell>
          <cell r="H587">
            <v>0</v>
          </cell>
          <cell r="I587">
            <v>0</v>
          </cell>
          <cell r="J587">
            <v>0</v>
          </cell>
          <cell r="K587">
            <v>0</v>
          </cell>
          <cell r="L587">
            <v>0</v>
          </cell>
          <cell r="M587">
            <v>5.0000000000000001E-3</v>
          </cell>
          <cell r="N587">
            <v>0</v>
          </cell>
          <cell r="O587">
            <v>5.0000000000000001E-3</v>
          </cell>
          <cell r="P587">
            <v>0</v>
          </cell>
          <cell r="Q587">
            <v>0</v>
          </cell>
          <cell r="R587">
            <v>-1.1868131899999999E-7</v>
          </cell>
          <cell r="S587">
            <v>0.03</v>
          </cell>
          <cell r="T587">
            <v>2.9999881318680997E-2</v>
          </cell>
          <cell r="U587">
            <v>3.9873534119999998E-2</v>
          </cell>
          <cell r="V587">
            <v>8.2861122234285392E-2</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3.5904300660000009E-4</v>
          </cell>
          <cell r="O589">
            <v>10.5120420430066</v>
          </cell>
          <cell r="P589">
            <v>0</v>
          </cell>
          <cell r="Q589">
            <v>0</v>
          </cell>
          <cell r="R589">
            <v>7.4314626459999998E-3</v>
          </cell>
          <cell r="S589">
            <v>0.17000033170000001</v>
          </cell>
          <cell r="T589">
            <v>0.17743179434600001</v>
          </cell>
          <cell r="U589">
            <v>0</v>
          </cell>
          <cell r="V589">
            <v>10.689473837352601</v>
          </cell>
        </row>
        <row r="590">
          <cell r="D590" t="str">
            <v>FRANCE-Maintenance and Repairs, M$</v>
          </cell>
          <cell r="E590">
            <v>6.3024164088244277</v>
          </cell>
          <cell r="F590">
            <v>0</v>
          </cell>
          <cell r="G590">
            <v>6.3024164088244277</v>
          </cell>
          <cell r="H590">
            <v>0</v>
          </cell>
          <cell r="I590">
            <v>0</v>
          </cell>
          <cell r="J590">
            <v>0.31278147101538395</v>
          </cell>
          <cell r="K590">
            <v>0</v>
          </cell>
          <cell r="L590">
            <v>0.31278147101538395</v>
          </cell>
          <cell r="M590">
            <v>0</v>
          </cell>
          <cell r="N590">
            <v>0</v>
          </cell>
          <cell r="O590">
            <v>0</v>
          </cell>
          <cell r="P590">
            <v>0</v>
          </cell>
          <cell r="Q590">
            <v>0</v>
          </cell>
          <cell r="R590">
            <v>0</v>
          </cell>
          <cell r="S590">
            <v>0</v>
          </cell>
          <cell r="T590">
            <v>0</v>
          </cell>
          <cell r="U590">
            <v>0</v>
          </cell>
          <cell r="V590">
            <v>6.6151978798398119</v>
          </cell>
        </row>
        <row r="591">
          <cell r="D591" t="str">
            <v>FRANCE-Depreciation, M$</v>
          </cell>
          <cell r="E591">
            <v>0</v>
          </cell>
          <cell r="F591">
            <v>0</v>
          </cell>
          <cell r="G591">
            <v>0</v>
          </cell>
          <cell r="H591">
            <v>0</v>
          </cell>
          <cell r="I591">
            <v>0</v>
          </cell>
          <cell r="J591">
            <v>0</v>
          </cell>
          <cell r="K591">
            <v>0</v>
          </cell>
          <cell r="L591">
            <v>0</v>
          </cell>
          <cell r="M591">
            <v>1.0695199999999998</v>
          </cell>
          <cell r="N591">
            <v>0</v>
          </cell>
          <cell r="O591">
            <v>1.0695199999999998</v>
          </cell>
          <cell r="P591">
            <v>0</v>
          </cell>
          <cell r="Q591">
            <v>0</v>
          </cell>
          <cell r="R591">
            <v>0</v>
          </cell>
          <cell r="S591">
            <v>0</v>
          </cell>
          <cell r="T591">
            <v>0</v>
          </cell>
          <cell r="U591">
            <v>0</v>
          </cell>
          <cell r="V591">
            <v>1.0695199999999998</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41.763554896490248</v>
          </cell>
          <cell r="F595">
            <v>39.710501405824594</v>
          </cell>
          <cell r="G595">
            <v>81.474056302314835</v>
          </cell>
          <cell r="H595">
            <v>9.4363000000000002E-2</v>
          </cell>
          <cell r="I595">
            <v>-1.8452709010989003E-2</v>
          </cell>
          <cell r="J595">
            <v>0.77270917255384619</v>
          </cell>
          <cell r="K595">
            <v>0</v>
          </cell>
          <cell r="L595">
            <v>0.75425646354285714</v>
          </cell>
          <cell r="M595">
            <v>3.6282404477188877</v>
          </cell>
          <cell r="N595">
            <v>0.72580709478100702</v>
          </cell>
          <cell r="O595">
            <v>4.3540475424998943</v>
          </cell>
          <cell r="P595">
            <v>-0.54860122598516503</v>
          </cell>
          <cell r="Q595">
            <v>7.4381481934000002E-2</v>
          </cell>
          <cell r="R595">
            <v>0.25675474977047213</v>
          </cell>
          <cell r="S595">
            <v>3.1810495245461539</v>
          </cell>
          <cell r="T595">
            <v>3.5121857562506262</v>
          </cell>
          <cell r="U595">
            <v>-2.3174544234219998</v>
          </cell>
          <cell r="V595">
            <v>87.322853415201038</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-2.2806957549999538</v>
          </cell>
          <cell r="V596">
            <v>-2.2806957549999538</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4.224120400000003</v>
          </cell>
          <cell r="F600">
            <v>29.249302200000002</v>
          </cell>
          <cell r="G600">
            <v>33.473422600000006</v>
          </cell>
          <cell r="H600">
            <v>9.0235379999999985</v>
          </cell>
          <cell r="I600">
            <v>1.034481995678</v>
          </cell>
          <cell r="J600">
            <v>0</v>
          </cell>
          <cell r="K600">
            <v>0</v>
          </cell>
          <cell r="L600">
            <v>1.034481995678</v>
          </cell>
          <cell r="M600">
            <v>36.661710520074195</v>
          </cell>
          <cell r="N600">
            <v>1.6147105199448</v>
          </cell>
          <cell r="O600">
            <v>38.276421040019002</v>
          </cell>
          <cell r="P600">
            <v>0.44736499999999996</v>
          </cell>
          <cell r="Q600">
            <v>0.1060478818402</v>
          </cell>
          <cell r="R600">
            <v>0.96274444336530007</v>
          </cell>
          <cell r="S600">
            <v>2.2886224178740004</v>
          </cell>
          <cell r="T600">
            <v>3.3574147430794996</v>
          </cell>
          <cell r="U600">
            <v>-3.7108178593900276</v>
          </cell>
          <cell r="V600">
            <v>81.901825519386477</v>
          </cell>
        </row>
        <row r="601">
          <cell r="D601" t="str">
            <v>GERMANY-Total - Salaries, Wage and Benefits, M$</v>
          </cell>
          <cell r="E601">
            <v>-0.53291800000000034</v>
          </cell>
          <cell r="F601">
            <v>2.0509040000000001</v>
          </cell>
          <cell r="G601">
            <v>1.5179859999999998</v>
          </cell>
          <cell r="H601">
            <v>9.609945999999999</v>
          </cell>
          <cell r="I601">
            <v>0.63091424153999998</v>
          </cell>
          <cell r="J601">
            <v>0</v>
          </cell>
          <cell r="K601">
            <v>0</v>
          </cell>
          <cell r="L601">
            <v>0.63091424153999998</v>
          </cell>
          <cell r="M601">
            <v>9.7547366744400001</v>
          </cell>
          <cell r="N601">
            <v>0.7638428344599999</v>
          </cell>
          <cell r="O601">
            <v>10.5185795089</v>
          </cell>
          <cell r="P601">
            <v>0.40736499999999998</v>
          </cell>
          <cell r="Q601">
            <v>9.7948963380000004E-2</v>
          </cell>
          <cell r="R601">
            <v>0.55170606152000001</v>
          </cell>
          <cell r="S601">
            <v>0.87663168952999992</v>
          </cell>
          <cell r="T601">
            <v>1.5262867144299999</v>
          </cell>
          <cell r="U601">
            <v>1.358257</v>
          </cell>
          <cell r="V601">
            <v>25.569334464870003</v>
          </cell>
        </row>
        <row r="602">
          <cell r="D602" t="str">
            <v>GERMANY-Total - XOM Employee SWB, M$</v>
          </cell>
          <cell r="E602">
            <v>-0.56792400000000032</v>
          </cell>
          <cell r="F602">
            <v>2.0509040000000001</v>
          </cell>
          <cell r="G602">
            <v>1.4829799999999997</v>
          </cell>
          <cell r="H602">
            <v>9.5384569999999993</v>
          </cell>
          <cell r="I602">
            <v>0.59391099999999997</v>
          </cell>
          <cell r="J602">
            <v>0</v>
          </cell>
          <cell r="K602">
            <v>0</v>
          </cell>
          <cell r="L602">
            <v>0.59391099999999997</v>
          </cell>
          <cell r="M602">
            <v>9.7547366744400001</v>
          </cell>
          <cell r="N602">
            <v>0.7638428344599999</v>
          </cell>
          <cell r="O602">
            <v>10.5185795089</v>
          </cell>
          <cell r="P602">
            <v>0.40736499999999998</v>
          </cell>
          <cell r="Q602">
            <v>9.7948963380000004E-2</v>
          </cell>
          <cell r="R602">
            <v>0.55170606152000001</v>
          </cell>
          <cell r="S602">
            <v>0.87663168952999992</v>
          </cell>
          <cell r="T602">
            <v>1.5262867144299999</v>
          </cell>
          <cell r="U602">
            <v>1.358257</v>
          </cell>
          <cell r="V602">
            <v>25.425836223330002</v>
          </cell>
        </row>
        <row r="603">
          <cell r="D603" t="str">
            <v>GERMANY-Total - Contract Employee SWB, M$</v>
          </cell>
          <cell r="E603">
            <v>3.5006000000000002E-2</v>
          </cell>
          <cell r="F603">
            <v>0</v>
          </cell>
          <cell r="G603">
            <v>3.5006000000000002E-2</v>
          </cell>
          <cell r="H603">
            <v>7.1488999999999997E-2</v>
          </cell>
          <cell r="I603">
            <v>3.7003241540000002E-2</v>
          </cell>
          <cell r="J603">
            <v>0</v>
          </cell>
          <cell r="K603">
            <v>0</v>
          </cell>
          <cell r="L603">
            <v>3.7003241540000002E-2</v>
          </cell>
          <cell r="M603">
            <v>0</v>
          </cell>
          <cell r="N603">
            <v>0</v>
          </cell>
          <cell r="O603">
            <v>0</v>
          </cell>
          <cell r="P603">
            <v>0</v>
          </cell>
          <cell r="Q603">
            <v>0</v>
          </cell>
          <cell r="R603">
            <v>0</v>
          </cell>
          <cell r="S603">
            <v>0</v>
          </cell>
          <cell r="T603">
            <v>0</v>
          </cell>
          <cell r="U603">
            <v>0</v>
          </cell>
          <cell r="V603">
            <v>0.14349824154000002</v>
          </cell>
        </row>
        <row r="604">
          <cell r="D604" t="str">
            <v>GERMANY-Total - Employee Expenses (T&amp;E), M$</v>
          </cell>
          <cell r="E604">
            <v>0</v>
          </cell>
          <cell r="F604">
            <v>0</v>
          </cell>
          <cell r="G604">
            <v>0</v>
          </cell>
          <cell r="H604">
            <v>0</v>
          </cell>
          <cell r="I604">
            <v>0.08</v>
          </cell>
          <cell r="J604">
            <v>0</v>
          </cell>
          <cell r="K604">
            <v>0</v>
          </cell>
          <cell r="L604">
            <v>0.08</v>
          </cell>
          <cell r="M604">
            <v>2.0554563203000003</v>
          </cell>
          <cell r="N604">
            <v>9.8339999999999997E-2</v>
          </cell>
          <cell r="O604">
            <v>2.1537963203000001</v>
          </cell>
          <cell r="P604">
            <v>0.04</v>
          </cell>
          <cell r="Q604">
            <v>1.1628895076999999E-2</v>
          </cell>
          <cell r="R604">
            <v>6.1210016610000008E-2</v>
          </cell>
          <cell r="S604">
            <v>0.21972383879999999</v>
          </cell>
          <cell r="T604">
            <v>0.29256275048699998</v>
          </cell>
          <cell r="U604">
            <v>0.1714</v>
          </cell>
          <cell r="V604">
            <v>2.7377590707869999</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4.6452869999999997</v>
          </cell>
          <cell r="N607">
            <v>9.4901741540000008E-3</v>
          </cell>
          <cell r="O607">
            <v>4.6547771741539998</v>
          </cell>
          <cell r="P607">
            <v>0</v>
          </cell>
          <cell r="Q607">
            <v>0</v>
          </cell>
          <cell r="R607">
            <v>1.378615385E-2</v>
          </cell>
          <cell r="S607">
            <v>4.5999999999999999E-2</v>
          </cell>
          <cell r="T607">
            <v>5.9786153849999996E-2</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2.0000000000000002E-5</v>
          </cell>
          <cell r="N609">
            <v>0</v>
          </cell>
          <cell r="O609">
            <v>2.0000000000000002E-5</v>
          </cell>
          <cell r="P609">
            <v>0</v>
          </cell>
          <cell r="Q609">
            <v>0</v>
          </cell>
          <cell r="R609">
            <v>0</v>
          </cell>
          <cell r="S609">
            <v>0</v>
          </cell>
          <cell r="T609">
            <v>0</v>
          </cell>
          <cell r="U609">
            <v>0</v>
          </cell>
          <cell r="V609">
            <v>2.0000000000000002E-5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2.3370384000000035</v>
          </cell>
          <cell r="F613">
            <v>27.198398200000003</v>
          </cell>
          <cell r="G613">
            <v>29.535436600000008</v>
          </cell>
          <cell r="H613">
            <v>-0.58640800000000004</v>
          </cell>
          <cell r="I613">
            <v>0.32356775413800004</v>
          </cell>
          <cell r="J613">
            <v>0</v>
          </cell>
          <cell r="K613">
            <v>0</v>
          </cell>
          <cell r="L613">
            <v>0.32356775413800004</v>
          </cell>
          <cell r="M613">
            <v>20.2062105253342</v>
          </cell>
          <cell r="N613">
            <v>0.74303751133080009</v>
          </cell>
          <cell r="O613">
            <v>20.949248036665001</v>
          </cell>
          <cell r="P613">
            <v>0</v>
          </cell>
          <cell r="Q613">
            <v>-3.5299766167999989E-3</v>
          </cell>
          <cell r="R613">
            <v>0.33604221138529999</v>
          </cell>
          <cell r="S613">
            <v>1.1462668895440002</v>
          </cell>
          <cell r="T613">
            <v>1.4787791243125001</v>
          </cell>
          <cell r="U613">
            <v>-0.67186185938999998</v>
          </cell>
          <cell r="V613">
            <v>51.028761655725511</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-4.5686130000000276</v>
          </cell>
          <cell r="V614">
            <v>-4.5686130000000276</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0.66222100000000006</v>
          </cell>
          <cell r="G618">
            <v>0.66222100000000006</v>
          </cell>
          <cell r="H618">
            <v>1.05</v>
          </cell>
          <cell r="I618">
            <v>0</v>
          </cell>
          <cell r="J618">
            <v>0</v>
          </cell>
          <cell r="K618">
            <v>0</v>
          </cell>
          <cell r="L618">
            <v>0</v>
          </cell>
          <cell r="M618">
            <v>1.0177750000000001</v>
          </cell>
          <cell r="N618">
            <v>0.77216000000000007</v>
          </cell>
          <cell r="O618">
            <v>1.7899350000000001</v>
          </cell>
          <cell r="P618">
            <v>0</v>
          </cell>
          <cell r="Q618">
            <v>0</v>
          </cell>
          <cell r="R618">
            <v>0</v>
          </cell>
          <cell r="S618">
            <v>0</v>
          </cell>
          <cell r="T618">
            <v>0</v>
          </cell>
          <cell r="U618">
            <v>-7.6060589999999992</v>
          </cell>
          <cell r="V618">
            <v>-4.103902999999999</v>
          </cell>
        </row>
        <row r="619">
          <cell r="D619" t="str">
            <v>GREECE-Total - Salaries, Wage and Benefits, M$</v>
          </cell>
          <cell r="E619">
            <v>0</v>
          </cell>
          <cell r="F619">
            <v>6.8346000000000004E-2</v>
          </cell>
          <cell r="G619">
            <v>6.8346000000000004E-2</v>
          </cell>
          <cell r="H619">
            <v>0.495</v>
          </cell>
          <cell r="I619">
            <v>0</v>
          </cell>
          <cell r="J619">
            <v>0</v>
          </cell>
          <cell r="K619">
            <v>0</v>
          </cell>
          <cell r="L619">
            <v>0</v>
          </cell>
          <cell r="M619">
            <v>0.51300999999999997</v>
          </cell>
          <cell r="N619">
            <v>0.60654300000000005</v>
          </cell>
          <cell r="O619">
            <v>1.119553</v>
          </cell>
          <cell r="P619">
            <v>0</v>
          </cell>
          <cell r="Q619">
            <v>0</v>
          </cell>
          <cell r="R619">
            <v>0</v>
          </cell>
          <cell r="S619">
            <v>0</v>
          </cell>
          <cell r="T619">
            <v>0</v>
          </cell>
          <cell r="U619">
            <v>0.315</v>
          </cell>
          <cell r="V619">
            <v>1.9978990000000001</v>
          </cell>
        </row>
        <row r="620">
          <cell r="D620" t="str">
            <v>GREECE-Total - XOM Employee SWB, M$</v>
          </cell>
          <cell r="E620">
            <v>0</v>
          </cell>
          <cell r="F620">
            <v>2.7317000000000001E-2</v>
          </cell>
          <cell r="G620">
            <v>2.7317000000000001E-2</v>
          </cell>
          <cell r="H620">
            <v>0.495</v>
          </cell>
          <cell r="I620">
            <v>0</v>
          </cell>
          <cell r="J620">
            <v>0</v>
          </cell>
          <cell r="K620">
            <v>0</v>
          </cell>
          <cell r="L620">
            <v>0</v>
          </cell>
          <cell r="M620">
            <v>0.51300999999999997</v>
          </cell>
          <cell r="N620">
            <v>0.51665300000000003</v>
          </cell>
          <cell r="O620">
            <v>1.029663</v>
          </cell>
          <cell r="P620">
            <v>0</v>
          </cell>
          <cell r="Q620">
            <v>0</v>
          </cell>
          <cell r="R620">
            <v>0</v>
          </cell>
          <cell r="S620">
            <v>0</v>
          </cell>
          <cell r="T620">
            <v>0</v>
          </cell>
          <cell r="U620">
            <v>0.315</v>
          </cell>
          <cell r="V620">
            <v>1.8669800000000001</v>
          </cell>
        </row>
        <row r="621">
          <cell r="D621" t="str">
            <v>GREECE-Total - Contract Employee SWB, M$</v>
          </cell>
          <cell r="E621">
            <v>0</v>
          </cell>
          <cell r="F621">
            <v>4.1029000000000003E-2</v>
          </cell>
          <cell r="G621">
            <v>4.1029000000000003E-2</v>
          </cell>
          <cell r="H621">
            <v>0</v>
          </cell>
          <cell r="I621">
            <v>0</v>
          </cell>
          <cell r="J621">
            <v>0</v>
          </cell>
          <cell r="K621">
            <v>0</v>
          </cell>
          <cell r="L621">
            <v>0</v>
          </cell>
          <cell r="M621">
            <v>0</v>
          </cell>
          <cell r="N621">
            <v>8.9889999999999998E-2</v>
          </cell>
          <cell r="O621">
            <v>8.9889999999999998E-2</v>
          </cell>
          <cell r="P621">
            <v>0</v>
          </cell>
          <cell r="Q621">
            <v>0</v>
          </cell>
          <cell r="R621">
            <v>0</v>
          </cell>
          <cell r="S621">
            <v>0</v>
          </cell>
          <cell r="T621">
            <v>0</v>
          </cell>
          <cell r="U621">
            <v>0</v>
          </cell>
          <cell r="V621">
            <v>0.13091900000000001</v>
          </cell>
        </row>
        <row r="622">
          <cell r="D622" t="str">
            <v>GREECE-Total - Employee Expenses (T&amp;E), M$</v>
          </cell>
          <cell r="E622">
            <v>0</v>
          </cell>
          <cell r="F622">
            <v>9.5479999999999992E-3</v>
          </cell>
          <cell r="G622">
            <v>9.5479999999999992E-3</v>
          </cell>
          <cell r="H622">
            <v>0</v>
          </cell>
          <cell r="I622">
            <v>0</v>
          </cell>
          <cell r="J622">
            <v>0</v>
          </cell>
          <cell r="K622">
            <v>0</v>
          </cell>
          <cell r="L622">
            <v>0</v>
          </cell>
          <cell r="M622">
            <v>1.6E-2</v>
          </cell>
          <cell r="N622">
            <v>0.11</v>
          </cell>
          <cell r="O622">
            <v>0.126</v>
          </cell>
          <cell r="P622">
            <v>0</v>
          </cell>
          <cell r="Q622">
            <v>0</v>
          </cell>
          <cell r="R622">
            <v>0</v>
          </cell>
          <cell r="S622">
            <v>0</v>
          </cell>
          <cell r="T622">
            <v>0</v>
          </cell>
          <cell r="U622">
            <v>1.0999999999999999E-2</v>
          </cell>
          <cell r="V622">
            <v>0.14654800000000001</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0.37873499999999999</v>
          </cell>
          <cell r="N625">
            <v>0</v>
          </cell>
          <cell r="O625">
            <v>0.37873499999999999</v>
          </cell>
          <cell r="P625">
            <v>0</v>
          </cell>
          <cell r="Q625">
            <v>0</v>
          </cell>
          <cell r="R625">
            <v>0</v>
          </cell>
          <cell r="S625">
            <v>0</v>
          </cell>
          <cell r="T625">
            <v>0</v>
          </cell>
          <cell r="U625">
            <v>0</v>
          </cell>
          <cell r="V625">
            <v>0.37873499999999999</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2.0000000000000002E-5</v>
          </cell>
          <cell r="N627">
            <v>0</v>
          </cell>
          <cell r="O627">
            <v>2.0000000000000002E-5</v>
          </cell>
          <cell r="P627">
            <v>0</v>
          </cell>
          <cell r="Q627">
            <v>0</v>
          </cell>
          <cell r="R627">
            <v>0</v>
          </cell>
          <cell r="S627">
            <v>0</v>
          </cell>
          <cell r="T627">
            <v>0</v>
          </cell>
          <cell r="U627">
            <v>0</v>
          </cell>
          <cell r="V627">
            <v>2.0000000000000002E-5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0.58432700000000004</v>
          </cell>
          <cell r="G631">
            <v>0.58432700000000004</v>
          </cell>
          <cell r="H631">
            <v>0.55500000000000005</v>
          </cell>
          <cell r="I631">
            <v>0</v>
          </cell>
          <cell r="J631">
            <v>0</v>
          </cell>
          <cell r="K631">
            <v>0</v>
          </cell>
          <cell r="L631">
            <v>0</v>
          </cell>
          <cell r="M631">
            <v>0.11001</v>
          </cell>
          <cell r="N631">
            <v>5.5617E-2</v>
          </cell>
          <cell r="O631">
            <v>0.165627</v>
          </cell>
          <cell r="P631">
            <v>0</v>
          </cell>
          <cell r="Q631">
            <v>0</v>
          </cell>
          <cell r="R631">
            <v>0</v>
          </cell>
          <cell r="S631">
            <v>0</v>
          </cell>
          <cell r="T631">
            <v>0</v>
          </cell>
          <cell r="U631">
            <v>0</v>
          </cell>
          <cell r="V631">
            <v>1.3049540000000002</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-7.9320589999999989</v>
          </cell>
          <cell r="V632">
            <v>-7.9320589999999989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1.3537999999999999</v>
          </cell>
          <cell r="G636">
            <v>1.3537999999999999</v>
          </cell>
          <cell r="H636">
            <v>0.30549100000000001</v>
          </cell>
          <cell r="I636">
            <v>0</v>
          </cell>
          <cell r="J636">
            <v>0</v>
          </cell>
          <cell r="K636">
            <v>0</v>
          </cell>
          <cell r="L636">
            <v>0</v>
          </cell>
          <cell r="M636">
            <v>4.9592197824217594</v>
          </cell>
          <cell r="N636">
            <v>0</v>
          </cell>
          <cell r="O636">
            <v>4.9592197824217594</v>
          </cell>
          <cell r="P636">
            <v>0.1464</v>
          </cell>
          <cell r="Q636">
            <v>0</v>
          </cell>
          <cell r="R636">
            <v>2.1757824081689619E-7</v>
          </cell>
          <cell r="S636">
            <v>0</v>
          </cell>
          <cell r="T636">
            <v>2.1757824081689619E-7</v>
          </cell>
          <cell r="U636">
            <v>0.6137999999999999</v>
          </cell>
          <cell r="V636">
            <v>7.3787110000000009</v>
          </cell>
        </row>
        <row r="637">
          <cell r="D637" t="str">
            <v>HUNGARY-Total - Salaries, Wage and Benefits, M$</v>
          </cell>
          <cell r="E637">
            <v>0</v>
          </cell>
          <cell r="F637">
            <v>0.10920000000000001</v>
          </cell>
          <cell r="G637">
            <v>0.10920000000000001</v>
          </cell>
          <cell r="H637">
            <v>0.29129100000000002</v>
          </cell>
          <cell r="I637">
            <v>0</v>
          </cell>
          <cell r="J637">
            <v>0</v>
          </cell>
          <cell r="K637">
            <v>0</v>
          </cell>
          <cell r="L637">
            <v>0</v>
          </cell>
          <cell r="M637">
            <v>0.90300978242175933</v>
          </cell>
          <cell r="N637">
            <v>0</v>
          </cell>
          <cell r="O637">
            <v>0.90300978242175933</v>
          </cell>
          <cell r="P637">
            <v>0.1008</v>
          </cell>
          <cell r="Q637">
            <v>0</v>
          </cell>
          <cell r="R637">
            <v>2.1757824081689619E-7</v>
          </cell>
          <cell r="S637">
            <v>0</v>
          </cell>
          <cell r="T637">
            <v>2.1757824081689619E-7</v>
          </cell>
          <cell r="U637">
            <v>0.55079999999999996</v>
          </cell>
          <cell r="V637">
            <v>1.955101</v>
          </cell>
        </row>
        <row r="638">
          <cell r="D638" t="str">
            <v>HUNGARY-Total - XOM Employee SWB, M$</v>
          </cell>
          <cell r="E638">
            <v>0</v>
          </cell>
          <cell r="F638">
            <v>0.10920000000000001</v>
          </cell>
          <cell r="G638">
            <v>0.10920000000000001</v>
          </cell>
          <cell r="H638">
            <v>0.29129100000000002</v>
          </cell>
          <cell r="I638">
            <v>0</v>
          </cell>
          <cell r="J638">
            <v>0</v>
          </cell>
          <cell r="K638">
            <v>0</v>
          </cell>
          <cell r="L638">
            <v>0</v>
          </cell>
          <cell r="M638">
            <v>0.74820978242175928</v>
          </cell>
          <cell r="N638">
            <v>0</v>
          </cell>
          <cell r="O638">
            <v>0.74820978242175928</v>
          </cell>
          <cell r="P638">
            <v>0.1008</v>
          </cell>
          <cell r="Q638">
            <v>0</v>
          </cell>
          <cell r="R638">
            <v>2.1757824081689619E-7</v>
          </cell>
          <cell r="S638">
            <v>0</v>
          </cell>
          <cell r="T638">
            <v>2.1757824081689619E-7</v>
          </cell>
          <cell r="U638">
            <v>0.55079999999999996</v>
          </cell>
          <cell r="V638">
            <v>1.8003009999999999</v>
          </cell>
        </row>
        <row r="639">
          <cell r="D639" t="str">
            <v>HUNGARY-Total - Contract Employee SWB, M$</v>
          </cell>
          <cell r="E639">
            <v>0</v>
          </cell>
          <cell r="F639">
            <v>0</v>
          </cell>
          <cell r="G639">
            <v>0</v>
          </cell>
          <cell r="H639">
            <v>0</v>
          </cell>
          <cell r="I639">
            <v>0</v>
          </cell>
          <cell r="J639">
            <v>0</v>
          </cell>
          <cell r="K639">
            <v>0</v>
          </cell>
          <cell r="L639">
            <v>0</v>
          </cell>
          <cell r="M639">
            <v>0.15479999999999999</v>
          </cell>
          <cell r="N639">
            <v>0</v>
          </cell>
          <cell r="O639">
            <v>0.15479999999999999</v>
          </cell>
          <cell r="P639">
            <v>0</v>
          </cell>
          <cell r="Q639">
            <v>0</v>
          </cell>
          <cell r="R639">
            <v>0</v>
          </cell>
          <cell r="S639">
            <v>0</v>
          </cell>
          <cell r="T639">
            <v>0</v>
          </cell>
          <cell r="U639">
            <v>0</v>
          </cell>
          <cell r="V639">
            <v>0.15479999999999999</v>
          </cell>
        </row>
        <row r="640">
          <cell r="D640" t="str">
            <v>HUNGARY-Total - Employee Expenses (T&amp;E), M$</v>
          </cell>
          <cell r="E640">
            <v>0</v>
          </cell>
          <cell r="F640">
            <v>1.7399999999999999E-2</v>
          </cell>
          <cell r="G640">
            <v>1.7399999999999999E-2</v>
          </cell>
          <cell r="H640">
            <v>0</v>
          </cell>
          <cell r="I640">
            <v>0</v>
          </cell>
          <cell r="J640">
            <v>0</v>
          </cell>
          <cell r="K640">
            <v>0</v>
          </cell>
          <cell r="L640">
            <v>0</v>
          </cell>
          <cell r="M640">
            <v>0.48120000000000002</v>
          </cell>
          <cell r="N640">
            <v>0</v>
          </cell>
          <cell r="O640">
            <v>0.48120000000000002</v>
          </cell>
          <cell r="P640">
            <v>3.2399999999999998E-2</v>
          </cell>
          <cell r="Q640">
            <v>0</v>
          </cell>
          <cell r="R640">
            <v>0</v>
          </cell>
          <cell r="S640">
            <v>0</v>
          </cell>
          <cell r="T640">
            <v>0</v>
          </cell>
          <cell r="U640">
            <v>6.3E-2</v>
          </cell>
          <cell r="V640">
            <v>0.59400000000000008</v>
          </cell>
        </row>
        <row r="641">
          <cell r="D641" t="str">
            <v>HUNGARY-Total - Training Expenses, M$</v>
          </cell>
          <cell r="E641">
            <v>0</v>
          </cell>
          <cell r="F641">
            <v>1.1999999999999999E-3</v>
          </cell>
          <cell r="G641">
            <v>1.1999999999999999E-3</v>
          </cell>
          <cell r="H641">
            <v>0</v>
          </cell>
          <cell r="I641">
            <v>0</v>
          </cell>
          <cell r="J641">
            <v>0</v>
          </cell>
          <cell r="K641">
            <v>0</v>
          </cell>
          <cell r="L641">
            <v>0</v>
          </cell>
          <cell r="M641">
            <v>1.7399999999999999E-2</v>
          </cell>
          <cell r="N641">
            <v>0</v>
          </cell>
          <cell r="O641">
            <v>1.7399999999999999E-2</v>
          </cell>
          <cell r="P641">
            <v>2.3999999999999998E-3</v>
          </cell>
          <cell r="Q641">
            <v>0</v>
          </cell>
          <cell r="R641">
            <v>0</v>
          </cell>
          <cell r="S641">
            <v>0</v>
          </cell>
          <cell r="T641">
            <v>0</v>
          </cell>
          <cell r="U641">
            <v>0</v>
          </cell>
          <cell r="V641">
            <v>2.0999999999999998E-2</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2.0000000000000002E-5</v>
          </cell>
          <cell r="N645">
            <v>0</v>
          </cell>
          <cell r="O645">
            <v>2.0000000000000002E-5</v>
          </cell>
          <cell r="P645">
            <v>0</v>
          </cell>
          <cell r="Q645">
            <v>0</v>
          </cell>
          <cell r="R645">
            <v>0</v>
          </cell>
          <cell r="S645">
            <v>0</v>
          </cell>
          <cell r="T645">
            <v>0</v>
          </cell>
          <cell r="U645">
            <v>0</v>
          </cell>
          <cell r="V645">
            <v>2.0000000000000002E-5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1.4200000000000001E-2</v>
          </cell>
          <cell r="I649">
            <v>0</v>
          </cell>
          <cell r="J649">
            <v>0</v>
          </cell>
          <cell r="K649">
            <v>0</v>
          </cell>
          <cell r="L649">
            <v>0</v>
          </cell>
          <cell r="M649">
            <v>2.54</v>
          </cell>
          <cell r="N649">
            <v>0</v>
          </cell>
          <cell r="O649">
            <v>2.54</v>
          </cell>
          <cell r="P649">
            <v>1.0800000000000001E-2</v>
          </cell>
          <cell r="Q649">
            <v>0</v>
          </cell>
          <cell r="R649">
            <v>0</v>
          </cell>
          <cell r="S649">
            <v>0</v>
          </cell>
          <cell r="T649">
            <v>0</v>
          </cell>
          <cell r="U649">
            <v>0</v>
          </cell>
          <cell r="V649">
            <v>3.7909999999999999</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13.228916169239559</v>
          </cell>
          <cell r="F654">
            <v>10.622555335797795</v>
          </cell>
          <cell r="G654">
            <v>23.851471505037352</v>
          </cell>
          <cell r="H654">
            <v>5.3266419492957997</v>
          </cell>
          <cell r="I654">
            <v>0.10031211224199998</v>
          </cell>
          <cell r="J654">
            <v>0.71609956737582414</v>
          </cell>
          <cell r="K654">
            <v>0</v>
          </cell>
          <cell r="L654">
            <v>0.81641167961782402</v>
          </cell>
          <cell r="M654">
            <v>16.2402498450674</v>
          </cell>
          <cell r="N654">
            <v>1.17299315437874</v>
          </cell>
          <cell r="O654">
            <v>17.41324299944614</v>
          </cell>
          <cell r="P654">
            <v>0.42489288639360007</v>
          </cell>
          <cell r="Q654">
            <v>0.28061995049549998</v>
          </cell>
          <cell r="R654">
            <v>0.58612117021320009</v>
          </cell>
          <cell r="S654">
            <v>5.6400694096250001</v>
          </cell>
          <cell r="T654">
            <v>6.5068105303337003</v>
          </cell>
          <cell r="U654">
            <v>-2.4798708467948036</v>
          </cell>
          <cell r="V654">
            <v>51.859600703329612</v>
          </cell>
        </row>
        <row r="655">
          <cell r="D655" t="str">
            <v>ITALY-Total - Salaries, Wage and Benefits, M$</v>
          </cell>
          <cell r="E655">
            <v>6.1897220707076919</v>
          </cell>
          <cell r="F655">
            <v>0.58799990821098902</v>
          </cell>
          <cell r="G655">
            <v>6.7777219789186809</v>
          </cell>
          <cell r="H655">
            <v>4.8230134104499998</v>
          </cell>
          <cell r="I655">
            <v>9.3196100059999981E-2</v>
          </cell>
          <cell r="J655">
            <v>0.52717784597802197</v>
          </cell>
          <cell r="K655">
            <v>0</v>
          </cell>
          <cell r="L655">
            <v>0.62037394603802187</v>
          </cell>
          <cell r="M655">
            <v>3.7899316070599998</v>
          </cell>
          <cell r="N655">
            <v>0.53809499999999999</v>
          </cell>
          <cell r="O655">
            <v>4.32802660706</v>
          </cell>
          <cell r="P655">
            <v>0.32520319335000003</v>
          </cell>
          <cell r="Q655">
            <v>0.15600648377500001</v>
          </cell>
          <cell r="R655">
            <v>0.46443441103600008</v>
          </cell>
          <cell r="S655">
            <v>0.46700000000000003</v>
          </cell>
          <cell r="T655">
            <v>1.0874408948110001</v>
          </cell>
          <cell r="U655">
            <v>0.64693506554999991</v>
          </cell>
          <cell r="V655">
            <v>18.608715096177701</v>
          </cell>
        </row>
        <row r="656">
          <cell r="D656" t="str">
            <v>ITALY-Total - XOM Employee SWB, M$</v>
          </cell>
          <cell r="E656">
            <v>5.4455026968439553</v>
          </cell>
          <cell r="F656">
            <v>0.58799999999999997</v>
          </cell>
          <cell r="G656">
            <v>6.0335026968439553</v>
          </cell>
          <cell r="H656">
            <v>4.0792676291499994</v>
          </cell>
          <cell r="I656">
            <v>9.3196428639999981E-2</v>
          </cell>
          <cell r="J656">
            <v>0.44194412104615383</v>
          </cell>
          <cell r="K656">
            <v>0</v>
          </cell>
          <cell r="L656">
            <v>0.53514054968615377</v>
          </cell>
          <cell r="M656">
            <v>3.7260245381999999</v>
          </cell>
          <cell r="N656">
            <v>0.53809499999999999</v>
          </cell>
          <cell r="O656">
            <v>4.2641195382000001</v>
          </cell>
          <cell r="P656">
            <v>0.32520319335000003</v>
          </cell>
          <cell r="Q656">
            <v>0.15600648377500001</v>
          </cell>
          <cell r="R656">
            <v>0.46443423974600007</v>
          </cell>
          <cell r="S656">
            <v>0.46700000000000003</v>
          </cell>
          <cell r="T656">
            <v>1.0874407235210002</v>
          </cell>
          <cell r="U656">
            <v>0.64693506554999991</v>
          </cell>
          <cell r="V656">
            <v>16.971609396301108</v>
          </cell>
        </row>
        <row r="657">
          <cell r="D657" t="str">
            <v>ITALY-Total - Contract Employee SWB, M$</v>
          </cell>
          <cell r="E657">
            <v>0.74421937386373627</v>
          </cell>
          <cell r="F657">
            <v>-9.1789010989998581E-8</v>
          </cell>
          <cell r="G657">
            <v>0.74421928207472532</v>
          </cell>
          <cell r="H657">
            <v>0.74374578130000002</v>
          </cell>
          <cell r="I657">
            <v>-3.2857999999941967E-7</v>
          </cell>
          <cell r="J657">
            <v>8.5233724931868107E-2</v>
          </cell>
          <cell r="K657">
            <v>0</v>
          </cell>
          <cell r="L657">
            <v>8.5233396351868107E-2</v>
          </cell>
          <cell r="M657">
            <v>6.3907068859999999E-2</v>
          </cell>
          <cell r="N657">
            <v>0</v>
          </cell>
          <cell r="O657">
            <v>6.3907068859999999E-2</v>
          </cell>
          <cell r="P657">
            <v>0</v>
          </cell>
          <cell r="Q657">
            <v>0</v>
          </cell>
          <cell r="R657">
            <v>1.7128999999840744E-7</v>
          </cell>
          <cell r="S657">
            <v>0</v>
          </cell>
          <cell r="T657">
            <v>1.7128999999840744E-7</v>
          </cell>
          <cell r="U657">
            <v>0</v>
          </cell>
          <cell r="V657">
            <v>1.6371056998765936</v>
          </cell>
        </row>
        <row r="658">
          <cell r="D658" t="str">
            <v>ITALY-Total - Employee Expenses (T&amp;E), M$</v>
          </cell>
          <cell r="E658">
            <v>0.27881604640879087</v>
          </cell>
          <cell r="F658">
            <v>0</v>
          </cell>
          <cell r="G658">
            <v>0.27881604640879087</v>
          </cell>
          <cell r="H658">
            <v>9.5299100629999994E-2</v>
          </cell>
          <cell r="I658">
            <v>9.9995847000000065E-3</v>
          </cell>
          <cell r="J658">
            <v>1.4107093556043953E-2</v>
          </cell>
          <cell r="K658">
            <v>0</v>
          </cell>
          <cell r="L658">
            <v>2.410667825604396E-2</v>
          </cell>
          <cell r="M658">
            <v>1.46291123824</v>
          </cell>
          <cell r="N658">
            <v>0.193</v>
          </cell>
          <cell r="O658">
            <v>1.6559112382400001</v>
          </cell>
          <cell r="P658">
            <v>0.1034186562</v>
          </cell>
          <cell r="Q658">
            <v>3.56E-2</v>
          </cell>
          <cell r="R658">
            <v>4.1191656319999999E-2</v>
          </cell>
          <cell r="S658">
            <v>0.10199999999999999</v>
          </cell>
          <cell r="T658">
            <v>0.17879165631999999</v>
          </cell>
          <cell r="U658">
            <v>0.18700603129999999</v>
          </cell>
          <cell r="V658">
            <v>2.5233494073548353</v>
          </cell>
        </row>
        <row r="659">
          <cell r="D659" t="str">
            <v>ITALY-Total - Training Expenses, M$</v>
          </cell>
          <cell r="E659">
            <v>4.3480000167032969E-2</v>
          </cell>
          <cell r="F659">
            <v>0</v>
          </cell>
          <cell r="G659">
            <v>4.3480000167032969E-2</v>
          </cell>
          <cell r="H659">
            <v>1.7915513460000001E-2</v>
          </cell>
          <cell r="I659">
            <v>0</v>
          </cell>
          <cell r="J659">
            <v>7.0418373626373622E-4</v>
          </cell>
          <cell r="K659">
            <v>0</v>
          </cell>
          <cell r="L659">
            <v>7.0418373626373622E-4</v>
          </cell>
          <cell r="M659">
            <v>2.6069691323999999E-2</v>
          </cell>
          <cell r="N659">
            <v>0</v>
          </cell>
          <cell r="O659">
            <v>2.6069691323999999E-2</v>
          </cell>
          <cell r="P659">
            <v>0</v>
          </cell>
          <cell r="Q659">
            <v>0</v>
          </cell>
          <cell r="R659">
            <v>-1.8854673399999955E-4</v>
          </cell>
          <cell r="S659">
            <v>1.9056469449999999E-3</v>
          </cell>
          <cell r="T659">
            <v>1.7171002110000003E-3</v>
          </cell>
          <cell r="U659">
            <v>0</v>
          </cell>
          <cell r="V659">
            <v>8.9886488898296715E-2</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4.4999999999999998E-2</v>
          </cell>
          <cell r="T661">
            <v>4.4999999999999998E-2</v>
          </cell>
          <cell r="U661">
            <v>0</v>
          </cell>
          <cell r="V661">
            <v>3.0561609999999999</v>
          </cell>
        </row>
        <row r="662">
          <cell r="D662" t="str">
            <v>ITALY-Maintenance and Repairs, M$</v>
          </cell>
          <cell r="E662">
            <v>6.7016183323076906E-2</v>
          </cell>
          <cell r="F662">
            <v>0</v>
          </cell>
          <cell r="G662">
            <v>6.7016183323076906E-2</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6.7016183323076906E-2</v>
          </cell>
        </row>
        <row r="663">
          <cell r="D663" t="str">
            <v>ITALY-Depreciation, M$</v>
          </cell>
          <cell r="E663">
            <v>0</v>
          </cell>
          <cell r="F663">
            <v>0</v>
          </cell>
          <cell r="G663">
            <v>0</v>
          </cell>
          <cell r="H663">
            <v>4.0518894070000006E-2</v>
          </cell>
          <cell r="I663">
            <v>0</v>
          </cell>
          <cell r="J663">
            <v>0</v>
          </cell>
          <cell r="K663">
            <v>0</v>
          </cell>
          <cell r="L663">
            <v>0</v>
          </cell>
          <cell r="M663">
            <v>2.0000000000000002E-5</v>
          </cell>
          <cell r="N663">
            <v>0</v>
          </cell>
          <cell r="O663">
            <v>2.0000000000000002E-5</v>
          </cell>
          <cell r="P663">
            <v>0</v>
          </cell>
          <cell r="Q663">
            <v>0</v>
          </cell>
          <cell r="R663">
            <v>0</v>
          </cell>
          <cell r="S663">
            <v>0</v>
          </cell>
          <cell r="T663">
            <v>0</v>
          </cell>
          <cell r="U663">
            <v>0</v>
          </cell>
          <cell r="V663">
            <v>4.0538894070000005E-2</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6.649881868632967</v>
          </cell>
          <cell r="F667">
            <v>10.034555427586806</v>
          </cell>
          <cell r="G667">
            <v>16.684437296219773</v>
          </cell>
          <cell r="H667">
            <v>0.34989503068579997</v>
          </cell>
          <cell r="I667">
            <v>-2.8835725179999988E-3</v>
          </cell>
          <cell r="J667">
            <v>0.17411044410549448</v>
          </cell>
          <cell r="K667">
            <v>0</v>
          </cell>
          <cell r="L667">
            <v>0.17122687158749447</v>
          </cell>
          <cell r="M667">
            <v>7.9501563084433995</v>
          </cell>
          <cell r="N667">
            <v>0.44189815437874003</v>
          </cell>
          <cell r="O667">
            <v>8.3920544628221396</v>
          </cell>
          <cell r="P667">
            <v>-3.7289631564000002E-3</v>
          </cell>
          <cell r="Q667">
            <v>8.9013466720499992E-2</v>
          </cell>
          <cell r="R667">
            <v>8.0683649591200002E-2</v>
          </cell>
          <cell r="S667">
            <v>5.0241637626799998</v>
          </cell>
          <cell r="T667">
            <v>5.1938608789916998</v>
          </cell>
          <cell r="U667">
            <v>0.47002305635519992</v>
          </cell>
          <cell r="V667">
            <v>31.257768633505705</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-3.7838350000000034</v>
          </cell>
          <cell r="V668">
            <v>-3.7838350000000034</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0.69632812779809972</v>
          </cell>
          <cell r="F690">
            <v>3.4769341808000003</v>
          </cell>
          <cell r="G690">
            <v>4.1732623085981002</v>
          </cell>
          <cell r="H690">
            <v>2.3288805300002</v>
          </cell>
          <cell r="I690">
            <v>0.25055037167279998</v>
          </cell>
          <cell r="J690">
            <v>0</v>
          </cell>
          <cell r="K690">
            <v>0</v>
          </cell>
          <cell r="L690">
            <v>0.25055037167279998</v>
          </cell>
          <cell r="M690">
            <v>4.1330961197011806</v>
          </cell>
          <cell r="N690">
            <v>2.2071659161947563</v>
          </cell>
          <cell r="O690">
            <v>6.3402620358959378</v>
          </cell>
          <cell r="P690">
            <v>0</v>
          </cell>
          <cell r="Q690">
            <v>0</v>
          </cell>
          <cell r="R690">
            <v>-4.0067499913232062E-3</v>
          </cell>
          <cell r="S690">
            <v>0.2964799412568867</v>
          </cell>
          <cell r="T690">
            <v>0.29247319126556348</v>
          </cell>
          <cell r="U690">
            <v>-5.55262057772</v>
          </cell>
          <cell r="V690">
            <v>7.8328078597126005</v>
          </cell>
        </row>
        <row r="691">
          <cell r="D691" t="str">
            <v>NORWAY-Total - Salaries, Wage and Benefits, M$</v>
          </cell>
          <cell r="E691">
            <v>0.45206196095899998</v>
          </cell>
          <cell r="F691">
            <v>0</v>
          </cell>
          <cell r="G691">
            <v>0.45206196095899998</v>
          </cell>
          <cell r="H691">
            <v>2.85747131292</v>
          </cell>
          <cell r="I691">
            <v>0.11524</v>
          </cell>
          <cell r="J691">
            <v>0</v>
          </cell>
          <cell r="K691">
            <v>0</v>
          </cell>
          <cell r="L691">
            <v>0.11524</v>
          </cell>
          <cell r="M691">
            <v>1.8010972609903806</v>
          </cell>
          <cell r="N691">
            <v>1.9959494108189562</v>
          </cell>
          <cell r="O691">
            <v>3.797046671809337</v>
          </cell>
          <cell r="P691">
            <v>0</v>
          </cell>
          <cell r="Q691">
            <v>0</v>
          </cell>
          <cell r="R691">
            <v>2.4857432807767867E-3</v>
          </cell>
          <cell r="S691">
            <v>0.1172042692968867</v>
          </cell>
          <cell r="T691">
            <v>0.11969001257766348</v>
          </cell>
          <cell r="U691">
            <v>0.47841400000000001</v>
          </cell>
          <cell r="V691">
            <v>7.8199239582660001</v>
          </cell>
        </row>
        <row r="692">
          <cell r="D692" t="str">
            <v>NORWAY-Total - XOM Employee SWB, M$</v>
          </cell>
          <cell r="E692">
            <v>0.18484822359199998</v>
          </cell>
          <cell r="F692">
            <v>0</v>
          </cell>
          <cell r="G692">
            <v>0.18484822359199998</v>
          </cell>
          <cell r="H692">
            <v>1.8692863129199999</v>
          </cell>
          <cell r="I692">
            <v>0.11524</v>
          </cell>
          <cell r="J692">
            <v>0</v>
          </cell>
          <cell r="K692">
            <v>0</v>
          </cell>
          <cell r="L692">
            <v>0.11524</v>
          </cell>
          <cell r="M692">
            <v>1.7259674524603805</v>
          </cell>
          <cell r="N692">
            <v>1.9202510474489562</v>
          </cell>
          <cell r="O692">
            <v>3.6462184999093368</v>
          </cell>
          <cell r="P692">
            <v>0</v>
          </cell>
          <cell r="Q692">
            <v>0</v>
          </cell>
          <cell r="R692">
            <v>1.8296977678656595E-7</v>
          </cell>
          <cell r="S692">
            <v>0.1072482975428867</v>
          </cell>
          <cell r="T692">
            <v>0.10724848051266349</v>
          </cell>
          <cell r="U692">
            <v>0.47841400000000001</v>
          </cell>
          <cell r="V692">
            <v>6.4012555169340004</v>
          </cell>
        </row>
        <row r="693">
          <cell r="D693" t="str">
            <v>NORWAY-Total - Contract Employee SWB, M$</v>
          </cell>
          <cell r="E693">
            <v>0.26721373736699999</v>
          </cell>
          <cell r="F693">
            <v>0</v>
          </cell>
          <cell r="G693">
            <v>0.26721373736699999</v>
          </cell>
          <cell r="H693">
            <v>0.98818499999999998</v>
          </cell>
          <cell r="I693">
            <v>0</v>
          </cell>
          <cell r="J693">
            <v>0</v>
          </cell>
          <cell r="K693">
            <v>0</v>
          </cell>
          <cell r="L693">
            <v>0</v>
          </cell>
          <cell r="M693">
            <v>7.5129808529999995E-2</v>
          </cell>
          <cell r="N693">
            <v>7.5698363370000007E-2</v>
          </cell>
          <cell r="O693">
            <v>0.1508281719</v>
          </cell>
          <cell r="P693">
            <v>0</v>
          </cell>
          <cell r="Q693">
            <v>0</v>
          </cell>
          <cell r="R693">
            <v>2.485560311E-3</v>
          </cell>
          <cell r="S693">
            <v>9.9559717540000005E-3</v>
          </cell>
          <cell r="T693">
            <v>1.2441532065E-2</v>
          </cell>
          <cell r="U693">
            <v>0</v>
          </cell>
          <cell r="V693">
            <v>1.4186684413319999</v>
          </cell>
        </row>
        <row r="694">
          <cell r="D694" t="str">
            <v>NORWAY-Total - Employee Expenses (T&amp;E), M$</v>
          </cell>
          <cell r="E694">
            <v>2.1011999999999999E-2</v>
          </cell>
          <cell r="F694">
            <v>0</v>
          </cell>
          <cell r="G694">
            <v>2.1011999999999999E-2</v>
          </cell>
          <cell r="H694">
            <v>5.6259000000000003E-2</v>
          </cell>
          <cell r="I694">
            <v>0.01</v>
          </cell>
          <cell r="J694">
            <v>0</v>
          </cell>
          <cell r="K694">
            <v>0</v>
          </cell>
          <cell r="L694">
            <v>0.01</v>
          </cell>
          <cell r="M694">
            <v>0.4601446407</v>
          </cell>
          <cell r="N694">
            <v>0.236940239</v>
          </cell>
          <cell r="O694">
            <v>0.69708487969999999</v>
          </cell>
          <cell r="P694">
            <v>0</v>
          </cell>
          <cell r="Q694">
            <v>0</v>
          </cell>
          <cell r="R694">
            <v>4.8961999999983161E-7</v>
          </cell>
          <cell r="S694">
            <v>2.0180753419999992E-2</v>
          </cell>
          <cell r="T694">
            <v>2.0181243039999991E-2</v>
          </cell>
          <cell r="U694">
            <v>0.09</v>
          </cell>
          <cell r="V694">
            <v>0.89453712274000008</v>
          </cell>
        </row>
        <row r="695">
          <cell r="D695" t="str">
            <v>NORWAY-Total - Training Expenses, M$</v>
          </cell>
          <cell r="E695">
            <v>0</v>
          </cell>
          <cell r="F695">
            <v>0</v>
          </cell>
          <cell r="G695">
            <v>0</v>
          </cell>
          <cell r="H695">
            <v>7.1799999999999998E-3</v>
          </cell>
          <cell r="I695">
            <v>0</v>
          </cell>
          <cell r="J695">
            <v>0</v>
          </cell>
          <cell r="K695">
            <v>0</v>
          </cell>
          <cell r="L695">
            <v>0</v>
          </cell>
          <cell r="M695">
            <v>0</v>
          </cell>
          <cell r="N695">
            <v>0</v>
          </cell>
          <cell r="O695">
            <v>0</v>
          </cell>
          <cell r="P695">
            <v>0</v>
          </cell>
          <cell r="Q695">
            <v>0</v>
          </cell>
          <cell r="R695">
            <v>0</v>
          </cell>
          <cell r="S695">
            <v>0</v>
          </cell>
          <cell r="T695">
            <v>0</v>
          </cell>
          <cell r="U695">
            <v>0</v>
          </cell>
          <cell r="V695">
            <v>7.1799999999999998E-3</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0.62934600000000007</v>
          </cell>
          <cell r="N697">
            <v>2.4558205189999998E-2</v>
          </cell>
          <cell r="O697">
            <v>0.65390420519000003</v>
          </cell>
          <cell r="P697">
            <v>0</v>
          </cell>
          <cell r="Q697">
            <v>0</v>
          </cell>
          <cell r="R697">
            <v>0</v>
          </cell>
          <cell r="S697">
            <v>1.35625332E-3</v>
          </cell>
          <cell r="T697">
            <v>1.35625332E-3</v>
          </cell>
          <cell r="U697">
            <v>0</v>
          </cell>
          <cell r="V697">
            <v>0.65526045851000003</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5.5714720679999998E-3</v>
          </cell>
          <cell r="I699">
            <v>2.1595226999999999E-3</v>
          </cell>
          <cell r="J699">
            <v>0</v>
          </cell>
          <cell r="K699">
            <v>0</v>
          </cell>
          <cell r="L699">
            <v>2.1595226999999999E-3</v>
          </cell>
          <cell r="M699">
            <v>2.0000000000000002E-5</v>
          </cell>
          <cell r="N699">
            <v>0</v>
          </cell>
          <cell r="O699">
            <v>2.0000000000000002E-5</v>
          </cell>
          <cell r="P699">
            <v>0</v>
          </cell>
          <cell r="Q699">
            <v>0</v>
          </cell>
          <cell r="R699">
            <v>0</v>
          </cell>
          <cell r="S699">
            <v>0</v>
          </cell>
          <cell r="T699">
            <v>0</v>
          </cell>
          <cell r="U699">
            <v>0</v>
          </cell>
          <cell r="V699">
            <v>7.7509947680000002E-3</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0.22325416683909971</v>
          </cell>
          <cell r="F703">
            <v>3.4769341808000003</v>
          </cell>
          <cell r="G703">
            <v>3.7001883476391</v>
          </cell>
          <cell r="H703">
            <v>-0.59760125498780003</v>
          </cell>
          <cell r="I703">
            <v>0.12315084897279999</v>
          </cell>
          <cell r="J703">
            <v>0</v>
          </cell>
          <cell r="K703">
            <v>0</v>
          </cell>
          <cell r="L703">
            <v>0.12315084897279999</v>
          </cell>
          <cell r="M703">
            <v>1.2424882180107999</v>
          </cell>
          <cell r="N703">
            <v>-5.0281938814199789E-2</v>
          </cell>
          <cell r="O703">
            <v>1.1922062791966002</v>
          </cell>
          <cell r="P703">
            <v>0</v>
          </cell>
          <cell r="Q703">
            <v>0</v>
          </cell>
          <cell r="R703">
            <v>-6.4929828920999924E-3</v>
          </cell>
          <cell r="S703">
            <v>0.15773866522000002</v>
          </cell>
          <cell r="T703">
            <v>0.15124568232790003</v>
          </cell>
          <cell r="U703">
            <v>0.17593246127999998</v>
          </cell>
          <cell r="V703">
            <v>4.7451223644286005</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-6.2969670390000001</v>
          </cell>
          <cell r="V704">
            <v>-6.2969670390000001</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0.16795750399999987</v>
          </cell>
          <cell r="F708">
            <v>3.717079</v>
          </cell>
          <cell r="G708">
            <v>3.8850365039999999</v>
          </cell>
          <cell r="H708">
            <v>0.6612380000000001</v>
          </cell>
          <cell r="I708">
            <v>7.3275576825510003E-2</v>
          </cell>
          <cell r="J708">
            <v>0</v>
          </cell>
          <cell r="K708">
            <v>0</v>
          </cell>
          <cell r="L708">
            <v>7.3275576825510003E-2</v>
          </cell>
          <cell r="M708">
            <v>10.783186655715348</v>
          </cell>
          <cell r="N708">
            <v>0</v>
          </cell>
          <cell r="O708">
            <v>10.783186655715348</v>
          </cell>
          <cell r="P708">
            <v>0.30978015112200002</v>
          </cell>
          <cell r="Q708">
            <v>0</v>
          </cell>
          <cell r="R708">
            <v>0.26223884095575195</v>
          </cell>
          <cell r="S708">
            <v>0</v>
          </cell>
          <cell r="T708">
            <v>0.26223884095575195</v>
          </cell>
          <cell r="U708">
            <v>0.6222111526380929</v>
          </cell>
          <cell r="V708">
            <v>16.596966881256701</v>
          </cell>
        </row>
        <row r="709">
          <cell r="D709" t="str">
            <v>POLAND-Total - Salaries, Wage and Benefits, M$</v>
          </cell>
          <cell r="E709">
            <v>0</v>
          </cell>
          <cell r="F709">
            <v>0.30018</v>
          </cell>
          <cell r="G709">
            <v>0.30018</v>
          </cell>
          <cell r="H709">
            <v>0.58734700000000006</v>
          </cell>
          <cell r="I709">
            <v>4.234224181E-2</v>
          </cell>
          <cell r="J709">
            <v>0</v>
          </cell>
          <cell r="K709">
            <v>0</v>
          </cell>
          <cell r="L709">
            <v>4.234224181E-2</v>
          </cell>
          <cell r="M709">
            <v>1.725149061371648</v>
          </cell>
          <cell r="N709">
            <v>0</v>
          </cell>
          <cell r="O709">
            <v>1.725149061371648</v>
          </cell>
          <cell r="P709">
            <v>0.19885042819999998</v>
          </cell>
          <cell r="Q709">
            <v>0</v>
          </cell>
          <cell r="R709">
            <v>0.17845089334435196</v>
          </cell>
          <cell r="S709">
            <v>0</v>
          </cell>
          <cell r="T709">
            <v>0.17845089334435196</v>
          </cell>
          <cell r="U709">
            <v>0.25164717879999998</v>
          </cell>
          <cell r="V709">
            <v>3.2839668035259999</v>
          </cell>
        </row>
        <row r="710">
          <cell r="D710" t="str">
            <v>POLAND-Total - XOM Employee SWB, M$</v>
          </cell>
          <cell r="E710">
            <v>0</v>
          </cell>
          <cell r="F710">
            <v>0.27600000000000002</v>
          </cell>
          <cell r="G710">
            <v>0.27600000000000002</v>
          </cell>
          <cell r="H710">
            <v>0.58567000000000002</v>
          </cell>
          <cell r="I710">
            <v>4.234224181E-2</v>
          </cell>
          <cell r="J710">
            <v>0</v>
          </cell>
          <cell r="K710">
            <v>0</v>
          </cell>
          <cell r="L710">
            <v>4.234224181E-2</v>
          </cell>
          <cell r="M710">
            <v>1.723829665905648</v>
          </cell>
          <cell r="N710">
            <v>0</v>
          </cell>
          <cell r="O710">
            <v>1.723829665905648</v>
          </cell>
          <cell r="P710">
            <v>0.19885042819999998</v>
          </cell>
          <cell r="Q710">
            <v>0</v>
          </cell>
          <cell r="R710">
            <v>0.17845089334435196</v>
          </cell>
          <cell r="S710">
            <v>0</v>
          </cell>
          <cell r="T710">
            <v>0.17845089334435196</v>
          </cell>
          <cell r="U710">
            <v>0.25164717879999998</v>
          </cell>
          <cell r="V710">
            <v>3.2567904080600001</v>
          </cell>
        </row>
        <row r="711">
          <cell r="D711" t="str">
            <v>POLAND-Total - Contract Employee SWB, M$</v>
          </cell>
          <cell r="E711">
            <v>0</v>
          </cell>
          <cell r="F711">
            <v>2.418E-2</v>
          </cell>
          <cell r="G711">
            <v>2.418E-2</v>
          </cell>
          <cell r="H711">
            <v>1.6770000000000001E-3</v>
          </cell>
          <cell r="I711">
            <v>0</v>
          </cell>
          <cell r="J711">
            <v>0</v>
          </cell>
          <cell r="K711">
            <v>0</v>
          </cell>
          <cell r="L711">
            <v>0</v>
          </cell>
          <cell r="M711">
            <v>1.319395466E-3</v>
          </cell>
          <cell r="N711">
            <v>0</v>
          </cell>
          <cell r="O711">
            <v>1.319395466E-3</v>
          </cell>
          <cell r="P711">
            <v>0</v>
          </cell>
          <cell r="Q711">
            <v>0</v>
          </cell>
          <cell r="R711">
            <v>0</v>
          </cell>
          <cell r="S711">
            <v>0</v>
          </cell>
          <cell r="T711">
            <v>0</v>
          </cell>
          <cell r="U711">
            <v>0</v>
          </cell>
          <cell r="V711">
            <v>2.7176395466000001E-2</v>
          </cell>
        </row>
        <row r="712">
          <cell r="D712" t="str">
            <v>POLAND-Total - Employee Expenses (T&amp;E), M$</v>
          </cell>
          <cell r="E712">
            <v>0</v>
          </cell>
          <cell r="F712">
            <v>2.4E-2</v>
          </cell>
          <cell r="G712">
            <v>2.4E-2</v>
          </cell>
          <cell r="H712">
            <v>0</v>
          </cell>
          <cell r="I712">
            <v>1.773364232E-2</v>
          </cell>
          <cell r="J712">
            <v>0</v>
          </cell>
          <cell r="K712">
            <v>0</v>
          </cell>
          <cell r="L712">
            <v>1.773364232E-2</v>
          </cell>
          <cell r="M712">
            <v>0.73020430604999997</v>
          </cell>
          <cell r="N712">
            <v>0</v>
          </cell>
          <cell r="O712">
            <v>0.73020430604999997</v>
          </cell>
          <cell r="P712">
            <v>7.4999999999999997E-2</v>
          </cell>
          <cell r="Q712">
            <v>0</v>
          </cell>
          <cell r="R712">
            <v>6.061363023E-2</v>
          </cell>
          <cell r="S712">
            <v>0</v>
          </cell>
          <cell r="T712">
            <v>6.061363023E-2</v>
          </cell>
          <cell r="U712">
            <v>2.9037235260000002E-2</v>
          </cell>
          <cell r="V712">
            <v>0.93658881385999992</v>
          </cell>
        </row>
        <row r="713">
          <cell r="D713" t="str">
            <v>POLAND-Total - Training Expenses, M$</v>
          </cell>
          <cell r="E713">
            <v>0</v>
          </cell>
          <cell r="F713">
            <v>4.4999999999999997E-3</v>
          </cell>
          <cell r="G713">
            <v>4.4999999999999997E-3</v>
          </cell>
          <cell r="H713">
            <v>0</v>
          </cell>
          <cell r="I713">
            <v>2.314861461E-4</v>
          </cell>
          <cell r="J713">
            <v>0</v>
          </cell>
          <cell r="K713">
            <v>0</v>
          </cell>
          <cell r="L713">
            <v>2.314861461E-4</v>
          </cell>
          <cell r="M713">
            <v>2.3429219144000001E-2</v>
          </cell>
          <cell r="N713">
            <v>0</v>
          </cell>
          <cell r="O713">
            <v>2.3429219144000001E-2</v>
          </cell>
          <cell r="P713">
            <v>5.0000000000000001E-3</v>
          </cell>
          <cell r="Q713">
            <v>0</v>
          </cell>
          <cell r="R713">
            <v>0</v>
          </cell>
          <cell r="S713">
            <v>0</v>
          </cell>
          <cell r="T713">
            <v>0</v>
          </cell>
          <cell r="U713">
            <v>1.600503778E-3</v>
          </cell>
          <cell r="V713">
            <v>3.4761209068099999E-2</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3.0945129999999996</v>
          </cell>
          <cell r="N715">
            <v>0</v>
          </cell>
          <cell r="O715">
            <v>3.0945129999999996</v>
          </cell>
          <cell r="P715">
            <v>0</v>
          </cell>
          <cell r="Q715">
            <v>0</v>
          </cell>
          <cell r="R715">
            <v>1.5E-3</v>
          </cell>
          <cell r="S715">
            <v>0</v>
          </cell>
          <cell r="T715">
            <v>1.5E-3</v>
          </cell>
          <cell r="U715">
            <v>0</v>
          </cell>
          <cell r="V715">
            <v>3.0960129999999997</v>
          </cell>
        </row>
        <row r="716">
          <cell r="D716" t="str">
            <v>POLAND-Maintenance and Repairs, M$</v>
          </cell>
          <cell r="E716">
            <v>0</v>
          </cell>
          <cell r="F716">
            <v>1E-4</v>
          </cell>
          <cell r="G716">
            <v>1E-4</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1E-4</v>
          </cell>
        </row>
        <row r="717">
          <cell r="D717" t="str">
            <v>POLAND-Depreciation, M$</v>
          </cell>
          <cell r="E717">
            <v>0</v>
          </cell>
          <cell r="F717">
            <v>0</v>
          </cell>
          <cell r="G717">
            <v>0</v>
          </cell>
          <cell r="H717">
            <v>0</v>
          </cell>
          <cell r="I717">
            <v>2E-3</v>
          </cell>
          <cell r="J717">
            <v>0</v>
          </cell>
          <cell r="K717">
            <v>0</v>
          </cell>
          <cell r="L717">
            <v>2E-3</v>
          </cell>
          <cell r="M717">
            <v>2.0000000000000002E-5</v>
          </cell>
          <cell r="N717">
            <v>0</v>
          </cell>
          <cell r="O717">
            <v>2.0000000000000002E-5</v>
          </cell>
          <cell r="P717">
            <v>5.0000000000000001E-4</v>
          </cell>
          <cell r="Q717">
            <v>0</v>
          </cell>
          <cell r="R717">
            <v>0</v>
          </cell>
          <cell r="S717">
            <v>0</v>
          </cell>
          <cell r="T717">
            <v>0</v>
          </cell>
          <cell r="U717">
            <v>0</v>
          </cell>
          <cell r="V717">
            <v>2.5200000000000001E-3</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0.16795750399999987</v>
          </cell>
          <cell r="F721">
            <v>3.3882989999999999</v>
          </cell>
          <cell r="G721">
            <v>3.5562565039999998</v>
          </cell>
          <cell r="H721">
            <v>7.3890999999999998E-2</v>
          </cell>
          <cell r="I721">
            <v>1.0968206549409998E-2</v>
          </cell>
          <cell r="J721">
            <v>0</v>
          </cell>
          <cell r="K721">
            <v>0</v>
          </cell>
          <cell r="L721">
            <v>1.0968206549409998E-2</v>
          </cell>
          <cell r="M721">
            <v>5.2098710691496999</v>
          </cell>
          <cell r="N721">
            <v>0</v>
          </cell>
          <cell r="O721">
            <v>5.2098710691496999</v>
          </cell>
          <cell r="P721">
            <v>3.0429722922E-2</v>
          </cell>
          <cell r="Q721">
            <v>0</v>
          </cell>
          <cell r="R721">
            <v>2.16743173814E-2</v>
          </cell>
          <cell r="S721">
            <v>0</v>
          </cell>
          <cell r="T721">
            <v>2.16743173814E-2</v>
          </cell>
          <cell r="U721">
            <v>0.33992623480009998</v>
          </cell>
          <cell r="V721">
            <v>9.2430170548026087</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-7.1054273576010019E-15</v>
          </cell>
          <cell r="V722">
            <v>-7.1054273576010019E-15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0.16795750399999987</v>
          </cell>
          <cell r="F726">
            <v>3.717079</v>
          </cell>
          <cell r="G726">
            <v>3.8850365039999999</v>
          </cell>
          <cell r="H726">
            <v>0.6612380000000001</v>
          </cell>
          <cell r="I726">
            <v>7.3275576825510003E-2</v>
          </cell>
          <cell r="J726">
            <v>0</v>
          </cell>
          <cell r="K726">
            <v>0</v>
          </cell>
          <cell r="L726">
            <v>7.3275576825510003E-2</v>
          </cell>
          <cell r="M726">
            <v>10.783186655715348</v>
          </cell>
          <cell r="N726">
            <v>0</v>
          </cell>
          <cell r="O726">
            <v>10.783186655715348</v>
          </cell>
          <cell r="P726">
            <v>0.30978015112200002</v>
          </cell>
          <cell r="Q726">
            <v>0</v>
          </cell>
          <cell r="R726">
            <v>0.26223884095575195</v>
          </cell>
          <cell r="S726">
            <v>0</v>
          </cell>
          <cell r="T726">
            <v>0.26223884095575195</v>
          </cell>
          <cell r="U726">
            <v>0.6222111526380929</v>
          </cell>
          <cell r="V726">
            <v>16.596966881256701</v>
          </cell>
        </row>
        <row r="727">
          <cell r="D727" t="str">
            <v>POLAND-Total - Salaries, Wage and Benefits, M$</v>
          </cell>
          <cell r="E727">
            <v>0</v>
          </cell>
          <cell r="F727">
            <v>0.30018</v>
          </cell>
          <cell r="G727">
            <v>0.30018</v>
          </cell>
          <cell r="H727">
            <v>0.58734700000000006</v>
          </cell>
          <cell r="I727">
            <v>4.234224181E-2</v>
          </cell>
          <cell r="J727">
            <v>0</v>
          </cell>
          <cell r="K727">
            <v>0</v>
          </cell>
          <cell r="L727">
            <v>4.234224181E-2</v>
          </cell>
          <cell r="M727">
            <v>1.725149061371648</v>
          </cell>
          <cell r="N727">
            <v>0</v>
          </cell>
          <cell r="O727">
            <v>1.725149061371648</v>
          </cell>
          <cell r="P727">
            <v>0.19885042819999998</v>
          </cell>
          <cell r="Q727">
            <v>0</v>
          </cell>
          <cell r="R727">
            <v>0.17845089334435196</v>
          </cell>
          <cell r="S727">
            <v>0</v>
          </cell>
          <cell r="T727">
            <v>0.17845089334435196</v>
          </cell>
          <cell r="U727">
            <v>0.25164717879999998</v>
          </cell>
          <cell r="V727">
            <v>3.2839668035259999</v>
          </cell>
        </row>
        <row r="728">
          <cell r="D728" t="str">
            <v>POLAND-Total - XOM Employee SWB, M$</v>
          </cell>
          <cell r="E728">
            <v>0</v>
          </cell>
          <cell r="F728">
            <v>0.27600000000000002</v>
          </cell>
          <cell r="G728">
            <v>0.27600000000000002</v>
          </cell>
          <cell r="H728">
            <v>0.58567000000000002</v>
          </cell>
          <cell r="I728">
            <v>4.234224181E-2</v>
          </cell>
          <cell r="J728">
            <v>0</v>
          </cell>
          <cell r="K728">
            <v>0</v>
          </cell>
          <cell r="L728">
            <v>4.234224181E-2</v>
          </cell>
          <cell r="M728">
            <v>1.723829665905648</v>
          </cell>
          <cell r="N728">
            <v>0</v>
          </cell>
          <cell r="O728">
            <v>1.723829665905648</v>
          </cell>
          <cell r="P728">
            <v>0.19885042819999998</v>
          </cell>
          <cell r="Q728">
            <v>0</v>
          </cell>
          <cell r="R728">
            <v>0.17845089334435196</v>
          </cell>
          <cell r="S728">
            <v>0</v>
          </cell>
          <cell r="T728">
            <v>0.17845089334435196</v>
          </cell>
          <cell r="U728">
            <v>0.25164717879999998</v>
          </cell>
          <cell r="V728">
            <v>3.2567904080600001</v>
          </cell>
        </row>
        <row r="729">
          <cell r="D729" t="str">
            <v>POLAND-Total - Contract Employee SWB, M$</v>
          </cell>
          <cell r="E729">
            <v>0</v>
          </cell>
          <cell r="F729">
            <v>2.418E-2</v>
          </cell>
          <cell r="G729">
            <v>2.418E-2</v>
          </cell>
          <cell r="H729">
            <v>1.6770000000000001E-3</v>
          </cell>
          <cell r="I729">
            <v>0</v>
          </cell>
          <cell r="J729">
            <v>0</v>
          </cell>
          <cell r="K729">
            <v>0</v>
          </cell>
          <cell r="L729">
            <v>0</v>
          </cell>
          <cell r="M729">
            <v>1.319395466E-3</v>
          </cell>
          <cell r="N729">
            <v>0</v>
          </cell>
          <cell r="O729">
            <v>1.319395466E-3</v>
          </cell>
          <cell r="P729">
            <v>0</v>
          </cell>
          <cell r="Q729">
            <v>0</v>
          </cell>
          <cell r="R729">
            <v>0</v>
          </cell>
          <cell r="S729">
            <v>0</v>
          </cell>
          <cell r="T729">
            <v>0</v>
          </cell>
          <cell r="U729">
            <v>0</v>
          </cell>
          <cell r="V729">
            <v>2.7176395466000001E-2</v>
          </cell>
        </row>
        <row r="730">
          <cell r="D730" t="str">
            <v>POLAND-Total - Employee Expenses (T&amp;E), M$</v>
          </cell>
          <cell r="E730">
            <v>0</v>
          </cell>
          <cell r="F730">
            <v>2.4E-2</v>
          </cell>
          <cell r="G730">
            <v>2.4E-2</v>
          </cell>
          <cell r="H730">
            <v>0</v>
          </cell>
          <cell r="I730">
            <v>1.773364232E-2</v>
          </cell>
          <cell r="J730">
            <v>0</v>
          </cell>
          <cell r="K730">
            <v>0</v>
          </cell>
          <cell r="L730">
            <v>1.773364232E-2</v>
          </cell>
          <cell r="M730">
            <v>0.73020430604999997</v>
          </cell>
          <cell r="N730">
            <v>0</v>
          </cell>
          <cell r="O730">
            <v>0.73020430604999997</v>
          </cell>
          <cell r="P730">
            <v>7.4999999999999997E-2</v>
          </cell>
          <cell r="Q730">
            <v>0</v>
          </cell>
          <cell r="R730">
            <v>6.061363023E-2</v>
          </cell>
          <cell r="S730">
            <v>0</v>
          </cell>
          <cell r="T730">
            <v>6.061363023E-2</v>
          </cell>
          <cell r="U730">
            <v>2.9037235260000002E-2</v>
          </cell>
          <cell r="V730">
            <v>0.93658881385999992</v>
          </cell>
        </row>
        <row r="731">
          <cell r="D731" t="str">
            <v>POLAND-Total - Training Expenses, M$</v>
          </cell>
          <cell r="E731">
            <v>0</v>
          </cell>
          <cell r="F731">
            <v>4.4999999999999997E-3</v>
          </cell>
          <cell r="G731">
            <v>4.4999999999999997E-3</v>
          </cell>
          <cell r="H731">
            <v>0</v>
          </cell>
          <cell r="I731">
            <v>2.314861461E-4</v>
          </cell>
          <cell r="J731">
            <v>0</v>
          </cell>
          <cell r="K731">
            <v>0</v>
          </cell>
          <cell r="L731">
            <v>2.314861461E-4</v>
          </cell>
          <cell r="M731">
            <v>2.3429219144000001E-2</v>
          </cell>
          <cell r="N731">
            <v>0</v>
          </cell>
          <cell r="O731">
            <v>2.3429219144000001E-2</v>
          </cell>
          <cell r="P731">
            <v>5.0000000000000001E-3</v>
          </cell>
          <cell r="Q731">
            <v>0</v>
          </cell>
          <cell r="R731">
            <v>0</v>
          </cell>
          <cell r="S731">
            <v>0</v>
          </cell>
          <cell r="T731">
            <v>0</v>
          </cell>
          <cell r="U731">
            <v>1.600503778E-3</v>
          </cell>
          <cell r="V731">
            <v>3.4761209068099999E-2</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3.0945129999999996</v>
          </cell>
          <cell r="N733">
            <v>0</v>
          </cell>
          <cell r="O733">
            <v>3.0945129999999996</v>
          </cell>
          <cell r="P733">
            <v>0</v>
          </cell>
          <cell r="Q733">
            <v>0</v>
          </cell>
          <cell r="R733">
            <v>1.5E-3</v>
          </cell>
          <cell r="S733">
            <v>0</v>
          </cell>
          <cell r="T733">
            <v>1.5E-3</v>
          </cell>
          <cell r="U733">
            <v>0</v>
          </cell>
          <cell r="V733">
            <v>3.0960129999999997</v>
          </cell>
        </row>
        <row r="734">
          <cell r="D734" t="str">
            <v>POLAND-Maintenance and Repairs, M$</v>
          </cell>
          <cell r="E734">
            <v>0</v>
          </cell>
          <cell r="F734">
            <v>1E-4</v>
          </cell>
          <cell r="G734">
            <v>1E-4</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1E-4</v>
          </cell>
        </row>
        <row r="735">
          <cell r="D735" t="str">
            <v>POLAND-Depreciation, M$</v>
          </cell>
          <cell r="E735">
            <v>0</v>
          </cell>
          <cell r="F735">
            <v>0</v>
          </cell>
          <cell r="G735">
            <v>0</v>
          </cell>
          <cell r="H735">
            <v>0</v>
          </cell>
          <cell r="I735">
            <v>2E-3</v>
          </cell>
          <cell r="J735">
            <v>0</v>
          </cell>
          <cell r="K735">
            <v>0</v>
          </cell>
          <cell r="L735">
            <v>2E-3</v>
          </cell>
          <cell r="M735">
            <v>2.0000000000000002E-5</v>
          </cell>
          <cell r="N735">
            <v>0</v>
          </cell>
          <cell r="O735">
            <v>2.0000000000000002E-5</v>
          </cell>
          <cell r="P735">
            <v>5.0000000000000001E-4</v>
          </cell>
          <cell r="Q735">
            <v>0</v>
          </cell>
          <cell r="R735">
            <v>0</v>
          </cell>
          <cell r="S735">
            <v>0</v>
          </cell>
          <cell r="T735">
            <v>0</v>
          </cell>
          <cell r="U735">
            <v>0</v>
          </cell>
          <cell r="V735">
            <v>2.5200000000000001E-3</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0.16795750399999987</v>
          </cell>
          <cell r="F739">
            <v>3.3882989999999999</v>
          </cell>
          <cell r="G739">
            <v>3.5562565039999998</v>
          </cell>
          <cell r="H739">
            <v>7.3890999999999998E-2</v>
          </cell>
          <cell r="I739">
            <v>1.0968206549409998E-2</v>
          </cell>
          <cell r="J739">
            <v>0</v>
          </cell>
          <cell r="K739">
            <v>0</v>
          </cell>
          <cell r="L739">
            <v>1.0968206549409998E-2</v>
          </cell>
          <cell r="M739">
            <v>5.2098710691496999</v>
          </cell>
          <cell r="N739">
            <v>0</v>
          </cell>
          <cell r="O739">
            <v>5.2098710691496999</v>
          </cell>
          <cell r="P739">
            <v>3.0429722922E-2</v>
          </cell>
          <cell r="Q739">
            <v>0</v>
          </cell>
          <cell r="R739">
            <v>2.16743173814E-2</v>
          </cell>
          <cell r="S739">
            <v>0</v>
          </cell>
          <cell r="T739">
            <v>2.16743173814E-2</v>
          </cell>
          <cell r="U739">
            <v>0.33992623480009998</v>
          </cell>
          <cell r="V739">
            <v>9.2430170548026087</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-7.1054273576010019E-15</v>
          </cell>
          <cell r="V740">
            <v>-7.1054273576010019E-15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1.4235057684058001</v>
          </cell>
          <cell r="F744">
            <v>0.63044661879539998</v>
          </cell>
          <cell r="G744">
            <v>2.0539523872012002</v>
          </cell>
          <cell r="H744">
            <v>0.16093000000000002</v>
          </cell>
          <cell r="I744">
            <v>0</v>
          </cell>
          <cell r="J744">
            <v>0.10836750033420001</v>
          </cell>
          <cell r="K744">
            <v>0</v>
          </cell>
          <cell r="L744">
            <v>0.10836750033420001</v>
          </cell>
          <cell r="M744">
            <v>4.3365980000000004</v>
          </cell>
          <cell r="N744">
            <v>6.7357488416999997E-2</v>
          </cell>
          <cell r="O744">
            <v>4.403955488417</v>
          </cell>
          <cell r="P744">
            <v>0.12792451532499999</v>
          </cell>
          <cell r="Q744">
            <v>0</v>
          </cell>
          <cell r="R744">
            <v>9.8618474545400001E-2</v>
          </cell>
          <cell r="S744">
            <v>0.17885311800609999</v>
          </cell>
          <cell r="T744">
            <v>0.2774715925515</v>
          </cell>
          <cell r="U744">
            <v>-2.2174499690000182E-2</v>
          </cell>
          <cell r="V744">
            <v>7.1104269841388996</v>
          </cell>
        </row>
        <row r="745">
          <cell r="D745" t="str">
            <v>PORTUGAL-Total - Salaries, Wage and Benefits, M$</v>
          </cell>
          <cell r="E745">
            <v>0.37567088041500002</v>
          </cell>
          <cell r="F745">
            <v>7.7071030518000017E-2</v>
          </cell>
          <cell r="G745">
            <v>0.45274191093300009</v>
          </cell>
          <cell r="H745">
            <v>0.14662800000000001</v>
          </cell>
          <cell r="I745">
            <v>0</v>
          </cell>
          <cell r="J745">
            <v>7.2105647278999999E-2</v>
          </cell>
          <cell r="K745">
            <v>0</v>
          </cell>
          <cell r="L745">
            <v>7.2105647278999999E-2</v>
          </cell>
          <cell r="M745">
            <v>0.64428599999999991</v>
          </cell>
          <cell r="N745">
            <v>0</v>
          </cell>
          <cell r="O745">
            <v>0.64428599999999991</v>
          </cell>
          <cell r="P745">
            <v>3.6586E-2</v>
          </cell>
          <cell r="Q745">
            <v>0</v>
          </cell>
          <cell r="R745">
            <v>3.4461937519999992E-2</v>
          </cell>
          <cell r="S745">
            <v>9.3258316800000005E-2</v>
          </cell>
          <cell r="T745">
            <v>0.12772025432</v>
          </cell>
          <cell r="U745">
            <v>0</v>
          </cell>
          <cell r="V745">
            <v>1.4800678125319999</v>
          </cell>
        </row>
        <row r="746">
          <cell r="D746" t="str">
            <v>PORTUGAL-Total - XOM Employee SWB, M$</v>
          </cell>
          <cell r="E746">
            <v>0.33761499100000003</v>
          </cell>
          <cell r="F746">
            <v>7.560141794700001E-2</v>
          </cell>
          <cell r="G746">
            <v>0.41321640894700007</v>
          </cell>
          <cell r="H746">
            <v>0.14662800000000001</v>
          </cell>
          <cell r="I746">
            <v>0</v>
          </cell>
          <cell r="J746">
            <v>6.6886000000000001E-2</v>
          </cell>
          <cell r="K746">
            <v>0</v>
          </cell>
          <cell r="L746">
            <v>6.6886000000000001E-2</v>
          </cell>
          <cell r="M746">
            <v>0.64428599999999991</v>
          </cell>
          <cell r="N746">
            <v>0</v>
          </cell>
          <cell r="O746">
            <v>0.64428599999999991</v>
          </cell>
          <cell r="P746">
            <v>3.6586E-2</v>
          </cell>
          <cell r="Q746">
            <v>0</v>
          </cell>
          <cell r="R746">
            <v>3.4461937519999992E-2</v>
          </cell>
          <cell r="S746">
            <v>9.3258316800000005E-2</v>
          </cell>
          <cell r="T746">
            <v>0.12772025432</v>
          </cell>
          <cell r="U746">
            <v>0</v>
          </cell>
          <cell r="V746">
            <v>1.435322663267</v>
          </cell>
        </row>
        <row r="747">
          <cell r="D747" t="str">
            <v>PORTUGAL-Total - Contract Employee SWB, M$</v>
          </cell>
          <cell r="E747">
            <v>3.8055889414999995E-2</v>
          </cell>
          <cell r="F747">
            <v>1.4696125709999998E-3</v>
          </cell>
          <cell r="G747">
            <v>3.9525501985999995E-2</v>
          </cell>
          <cell r="H747">
            <v>0</v>
          </cell>
          <cell r="I747">
            <v>0</v>
          </cell>
          <cell r="J747">
            <v>5.2196472790000002E-3</v>
          </cell>
          <cell r="K747">
            <v>0</v>
          </cell>
          <cell r="L747">
            <v>5.2196472790000002E-3</v>
          </cell>
          <cell r="M747">
            <v>0</v>
          </cell>
          <cell r="N747">
            <v>0</v>
          </cell>
          <cell r="O747">
            <v>0</v>
          </cell>
          <cell r="P747">
            <v>0</v>
          </cell>
          <cell r="Q747">
            <v>0</v>
          </cell>
          <cell r="R747">
            <v>0</v>
          </cell>
          <cell r="S747">
            <v>0</v>
          </cell>
          <cell r="T747">
            <v>0</v>
          </cell>
          <cell r="U747">
            <v>0</v>
          </cell>
          <cell r="V747">
            <v>4.4745149264999992E-2</v>
          </cell>
        </row>
        <row r="748">
          <cell r="D748" t="str">
            <v>PORTUGAL-Total - Employee Expenses (T&amp;E), M$</v>
          </cell>
          <cell r="E748">
            <v>1.9036000000000001E-2</v>
          </cell>
          <cell r="F748">
            <v>1.2421831912000001E-3</v>
          </cell>
          <cell r="G748">
            <v>2.0278183191200002E-2</v>
          </cell>
          <cell r="H748">
            <v>7.0000000000000001E-3</v>
          </cell>
          <cell r="I748">
            <v>0</v>
          </cell>
          <cell r="J748">
            <v>4.3472148920000002E-3</v>
          </cell>
          <cell r="K748">
            <v>0</v>
          </cell>
          <cell r="L748">
            <v>4.3472148920000002E-3</v>
          </cell>
          <cell r="M748">
            <v>0.258494</v>
          </cell>
          <cell r="N748">
            <v>0</v>
          </cell>
          <cell r="O748">
            <v>0.258494</v>
          </cell>
          <cell r="P748">
            <v>1.8506518215E-2</v>
          </cell>
          <cell r="Q748">
            <v>0</v>
          </cell>
          <cell r="R748">
            <v>1.3363952990000002E-2</v>
          </cell>
          <cell r="S748">
            <v>9.9891565709999998E-3</v>
          </cell>
          <cell r="T748">
            <v>2.3353109561E-2</v>
          </cell>
          <cell r="U748">
            <v>0</v>
          </cell>
          <cell r="V748">
            <v>0.33197902585919997</v>
          </cell>
        </row>
        <row r="749">
          <cell r="D749" t="str">
            <v>PORTUGAL-Total - Training Expenses, M$</v>
          </cell>
          <cell r="E749">
            <v>8.61E-4</v>
          </cell>
          <cell r="F749">
            <v>0</v>
          </cell>
          <cell r="G749">
            <v>8.61E-4</v>
          </cell>
          <cell r="H749">
            <v>5.0359999999999997E-3</v>
          </cell>
          <cell r="I749">
            <v>0</v>
          </cell>
          <cell r="J749">
            <v>4.3060430769999999E-4</v>
          </cell>
          <cell r="K749">
            <v>0</v>
          </cell>
          <cell r="L749">
            <v>4.3060430769999999E-4</v>
          </cell>
          <cell r="M749">
            <v>2.7958E-2</v>
          </cell>
          <cell r="N749">
            <v>0</v>
          </cell>
          <cell r="O749">
            <v>2.7958E-2</v>
          </cell>
          <cell r="P749">
            <v>0</v>
          </cell>
          <cell r="Q749">
            <v>0</v>
          </cell>
          <cell r="R749">
            <v>0</v>
          </cell>
          <cell r="S749">
            <v>0</v>
          </cell>
          <cell r="T749">
            <v>0</v>
          </cell>
          <cell r="U749">
            <v>0</v>
          </cell>
          <cell r="V749">
            <v>3.4285604307700002E-2</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1.0033540000000001</v>
          </cell>
          <cell r="N751">
            <v>0</v>
          </cell>
          <cell r="O751">
            <v>1.0033540000000001</v>
          </cell>
          <cell r="P751">
            <v>0</v>
          </cell>
          <cell r="Q751">
            <v>0</v>
          </cell>
          <cell r="R751">
            <v>0</v>
          </cell>
          <cell r="S751">
            <v>0</v>
          </cell>
          <cell r="T751">
            <v>0</v>
          </cell>
          <cell r="U751">
            <v>0</v>
          </cell>
          <cell r="V751">
            <v>1.0033540000000001</v>
          </cell>
        </row>
        <row r="752">
          <cell r="D752" t="str">
            <v>PORTUGAL-Maintenance and Repairs, M$</v>
          </cell>
          <cell r="E752">
            <v>1.9139429270100001E-2</v>
          </cell>
          <cell r="F752">
            <v>0</v>
          </cell>
          <cell r="G752">
            <v>1.9139429270100001E-2</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1.9139429270100001E-2</v>
          </cell>
        </row>
        <row r="753">
          <cell r="D753" t="str">
            <v>PORTUGAL-Depreciation, M$</v>
          </cell>
          <cell r="E753">
            <v>0</v>
          </cell>
          <cell r="F753">
            <v>0</v>
          </cell>
          <cell r="G753">
            <v>0</v>
          </cell>
          <cell r="H753">
            <v>0</v>
          </cell>
          <cell r="I753">
            <v>0</v>
          </cell>
          <cell r="J753">
            <v>0</v>
          </cell>
          <cell r="K753">
            <v>0</v>
          </cell>
          <cell r="L753">
            <v>0</v>
          </cell>
          <cell r="M753">
            <v>2.0000000000000002E-5</v>
          </cell>
          <cell r="N753">
            <v>0</v>
          </cell>
          <cell r="O753">
            <v>2.0000000000000002E-5</v>
          </cell>
          <cell r="P753">
            <v>0</v>
          </cell>
          <cell r="Q753">
            <v>0</v>
          </cell>
          <cell r="R753">
            <v>0</v>
          </cell>
          <cell r="S753">
            <v>0</v>
          </cell>
          <cell r="T753">
            <v>0</v>
          </cell>
          <cell r="U753">
            <v>0</v>
          </cell>
          <cell r="V753">
            <v>2.0000000000000002E-5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1.0087984587207002</v>
          </cell>
          <cell r="F757">
            <v>0.55213340508620001</v>
          </cell>
          <cell r="G757">
            <v>1.5609318638069003</v>
          </cell>
          <cell r="H757">
            <v>2.2659999999999998E-3</v>
          </cell>
          <cell r="I757">
            <v>0</v>
          </cell>
          <cell r="J757">
            <v>3.1484033855499999E-2</v>
          </cell>
          <cell r="K757">
            <v>0</v>
          </cell>
          <cell r="L757">
            <v>3.1484033855499999E-2</v>
          </cell>
          <cell r="M757">
            <v>2.4024860000000001</v>
          </cell>
          <cell r="N757">
            <v>6.7357488416999997E-2</v>
          </cell>
          <cell r="O757">
            <v>2.4698434884170002</v>
          </cell>
          <cell r="P757">
            <v>7.2831997109999991E-2</v>
          </cell>
          <cell r="Q757">
            <v>0</v>
          </cell>
          <cell r="R757">
            <v>5.0792584035400004E-2</v>
          </cell>
          <cell r="S757">
            <v>7.56056446351E-2</v>
          </cell>
          <cell r="T757">
            <v>0.12639822867049999</v>
          </cell>
          <cell r="U757">
            <v>0</v>
          </cell>
          <cell r="V757">
            <v>4.2637556118599003</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-2.2174499690000182E-2</v>
          </cell>
          <cell r="V758">
            <v>-2.2174499690000182E-2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0.50459999999999994</v>
          </cell>
          <cell r="I762">
            <v>0</v>
          </cell>
          <cell r="J762">
            <v>0</v>
          </cell>
          <cell r="K762">
            <v>0</v>
          </cell>
          <cell r="L762">
            <v>0</v>
          </cell>
          <cell r="M762">
            <v>10.033117999999998</v>
          </cell>
          <cell r="N762">
            <v>0</v>
          </cell>
          <cell r="O762">
            <v>10.033117999999998</v>
          </cell>
          <cell r="P762">
            <v>0.38555600000000001</v>
          </cell>
          <cell r="Q762">
            <v>0</v>
          </cell>
          <cell r="R762">
            <v>0</v>
          </cell>
          <cell r="S762">
            <v>0</v>
          </cell>
          <cell r="T762">
            <v>0</v>
          </cell>
          <cell r="U762">
            <v>1.0148000000000037</v>
          </cell>
          <cell r="V762">
            <v>13.162074</v>
          </cell>
        </row>
        <row r="763">
          <cell r="D763" t="str">
            <v>RUSSIA-Total - Salaries, Wage and Benefits, M$</v>
          </cell>
          <cell r="E763">
            <v>0</v>
          </cell>
          <cell r="F763">
            <v>0.16</v>
          </cell>
          <cell r="G763">
            <v>0.16</v>
          </cell>
          <cell r="H763">
            <v>0.31359999999999999</v>
          </cell>
          <cell r="I763">
            <v>0</v>
          </cell>
          <cell r="J763">
            <v>0</v>
          </cell>
          <cell r="K763">
            <v>0</v>
          </cell>
          <cell r="L763">
            <v>0</v>
          </cell>
          <cell r="M763">
            <v>1.4788399999999999</v>
          </cell>
          <cell r="N763">
            <v>0</v>
          </cell>
          <cell r="O763">
            <v>1.4788399999999999</v>
          </cell>
          <cell r="P763">
            <v>0.26</v>
          </cell>
          <cell r="Q763">
            <v>0</v>
          </cell>
          <cell r="R763">
            <v>0</v>
          </cell>
          <cell r="S763">
            <v>0</v>
          </cell>
          <cell r="T763">
            <v>0</v>
          </cell>
          <cell r="U763">
            <v>0.86480000000000001</v>
          </cell>
          <cell r="V763">
            <v>3.0772399999999998</v>
          </cell>
        </row>
        <row r="764">
          <cell r="D764" t="str">
            <v>RUSSIA-Total - XOM Employee SWB, M$</v>
          </cell>
          <cell r="E764">
            <v>0</v>
          </cell>
          <cell r="F764">
            <v>0.16</v>
          </cell>
          <cell r="G764">
            <v>0.16</v>
          </cell>
          <cell r="H764">
            <v>0.29520000000000002</v>
          </cell>
          <cell r="I764">
            <v>0</v>
          </cell>
          <cell r="J764">
            <v>0</v>
          </cell>
          <cell r="K764">
            <v>0</v>
          </cell>
          <cell r="L764">
            <v>0</v>
          </cell>
          <cell r="M764">
            <v>1.40384</v>
          </cell>
          <cell r="N764">
            <v>0</v>
          </cell>
          <cell r="O764">
            <v>1.40384</v>
          </cell>
          <cell r="P764">
            <v>0.14000000000000001</v>
          </cell>
          <cell r="Q764">
            <v>0</v>
          </cell>
          <cell r="R764">
            <v>0</v>
          </cell>
          <cell r="S764">
            <v>0</v>
          </cell>
          <cell r="T764">
            <v>0</v>
          </cell>
          <cell r="U764">
            <v>0.84</v>
          </cell>
          <cell r="V764">
            <v>2.8390399999999998</v>
          </cell>
        </row>
        <row r="765">
          <cell r="D765" t="str">
            <v>RUSSIA-Total - Contract Employee SWB, M$</v>
          </cell>
          <cell r="E765">
            <v>0</v>
          </cell>
          <cell r="F765">
            <v>0</v>
          </cell>
          <cell r="G765">
            <v>0</v>
          </cell>
          <cell r="H765">
            <v>1.84E-2</v>
          </cell>
          <cell r="I765">
            <v>0</v>
          </cell>
          <cell r="J765">
            <v>0</v>
          </cell>
          <cell r="K765">
            <v>0</v>
          </cell>
          <cell r="L765">
            <v>0</v>
          </cell>
          <cell r="M765">
            <v>7.4999999999999997E-2</v>
          </cell>
          <cell r="N765">
            <v>0</v>
          </cell>
          <cell r="O765">
            <v>7.4999999999999997E-2</v>
          </cell>
          <cell r="P765">
            <v>0.12</v>
          </cell>
          <cell r="Q765">
            <v>0</v>
          </cell>
          <cell r="R765">
            <v>0</v>
          </cell>
          <cell r="S765">
            <v>0</v>
          </cell>
          <cell r="T765">
            <v>0</v>
          </cell>
          <cell r="U765">
            <v>2.4799999999999999E-2</v>
          </cell>
          <cell r="V765">
            <v>0.23819999999999997</v>
          </cell>
        </row>
        <row r="766">
          <cell r="D766" t="str">
            <v>RUSSIA-Total - Employee Expenses (T&amp;E), M$</v>
          </cell>
          <cell r="E766">
            <v>0</v>
          </cell>
          <cell r="F766">
            <v>0.03</v>
          </cell>
          <cell r="G766">
            <v>0.03</v>
          </cell>
          <cell r="H766">
            <v>0.04</v>
          </cell>
          <cell r="I766">
            <v>0</v>
          </cell>
          <cell r="J766">
            <v>0</v>
          </cell>
          <cell r="K766">
            <v>0</v>
          </cell>
          <cell r="L766">
            <v>0</v>
          </cell>
          <cell r="M766">
            <v>0.62825500000000001</v>
          </cell>
          <cell r="N766">
            <v>0</v>
          </cell>
          <cell r="O766">
            <v>0.62825500000000001</v>
          </cell>
          <cell r="P766">
            <v>3.4000000000000002E-2</v>
          </cell>
          <cell r="Q766">
            <v>0</v>
          </cell>
          <cell r="R766">
            <v>0</v>
          </cell>
          <cell r="S766">
            <v>0</v>
          </cell>
          <cell r="T766">
            <v>0</v>
          </cell>
          <cell r="U766">
            <v>5.0999999999999997E-2</v>
          </cell>
          <cell r="V766">
            <v>0.78325500000000015</v>
          </cell>
        </row>
        <row r="767">
          <cell r="D767" t="str">
            <v>RUSSIA-Total - Training Expenses, M$</v>
          </cell>
          <cell r="E767">
            <v>0</v>
          </cell>
          <cell r="F767">
            <v>4.0000000000000001E-3</v>
          </cell>
          <cell r="G767">
            <v>4.0000000000000001E-3</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6.4000000000000001E-2</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4.6970029999999996</v>
          </cell>
          <cell r="N769">
            <v>0</v>
          </cell>
          <cell r="O769">
            <v>4.6970029999999996</v>
          </cell>
          <cell r="P769">
            <v>0</v>
          </cell>
          <cell r="Q769">
            <v>0</v>
          </cell>
          <cell r="R769">
            <v>0</v>
          </cell>
          <cell r="S769">
            <v>0</v>
          </cell>
          <cell r="T769">
            <v>0</v>
          </cell>
          <cell r="U769">
            <v>0</v>
          </cell>
          <cell r="V769">
            <v>4.6970029999999996</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4.0000000000000001E-3</v>
          </cell>
          <cell r="I771">
            <v>0</v>
          </cell>
          <cell r="J771">
            <v>0</v>
          </cell>
          <cell r="K771">
            <v>0</v>
          </cell>
          <cell r="L771">
            <v>0</v>
          </cell>
          <cell r="M771">
            <v>2.0000000000000002E-5</v>
          </cell>
          <cell r="N771">
            <v>0</v>
          </cell>
          <cell r="O771">
            <v>2.0000000000000002E-5</v>
          </cell>
          <cell r="P771">
            <v>0</v>
          </cell>
          <cell r="Q771">
            <v>0</v>
          </cell>
          <cell r="R771">
            <v>0</v>
          </cell>
          <cell r="S771">
            <v>0</v>
          </cell>
          <cell r="T771">
            <v>0</v>
          </cell>
          <cell r="U771">
            <v>1.2E-2</v>
          </cell>
          <cell r="V771">
            <v>1.602E-2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0.11700000000000001</v>
          </cell>
          <cell r="I775">
            <v>0</v>
          </cell>
          <cell r="J775">
            <v>0</v>
          </cell>
          <cell r="K775">
            <v>0</v>
          </cell>
          <cell r="L775">
            <v>0</v>
          </cell>
          <cell r="M775">
            <v>3.1989999999999998</v>
          </cell>
          <cell r="N775">
            <v>0</v>
          </cell>
          <cell r="O775">
            <v>3.1989999999999998</v>
          </cell>
          <cell r="P775">
            <v>9.1555999999999998E-2</v>
          </cell>
          <cell r="Q775">
            <v>0</v>
          </cell>
          <cell r="R775">
            <v>0</v>
          </cell>
          <cell r="S775">
            <v>0</v>
          </cell>
          <cell r="T775">
            <v>0</v>
          </cell>
          <cell r="U775">
            <v>8.6999999999999994E-2</v>
          </cell>
          <cell r="V775">
            <v>4.5245559999999996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3.5527136788005009E-15</v>
          </cell>
          <cell r="V776">
            <v>3.5527136788005009E-15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0.38954199999999994</v>
          </cell>
          <cell r="G780">
            <v>0.38954199999999994</v>
          </cell>
          <cell r="H780">
            <v>0.16708800000000001</v>
          </cell>
          <cell r="I780">
            <v>0</v>
          </cell>
          <cell r="J780">
            <v>0</v>
          </cell>
          <cell r="K780">
            <v>0</v>
          </cell>
          <cell r="L780">
            <v>0</v>
          </cell>
          <cell r="M780">
            <v>1.0259617746617671</v>
          </cell>
          <cell r="N780">
            <v>0</v>
          </cell>
          <cell r="O780">
            <v>1.0259617746617671</v>
          </cell>
          <cell r="P780">
            <v>7.6574E-3</v>
          </cell>
          <cell r="Q780">
            <v>7.1299199460935295E-8</v>
          </cell>
          <cell r="R780">
            <v>1.540390335079506E-7</v>
          </cell>
          <cell r="S780">
            <v>0</v>
          </cell>
          <cell r="T780">
            <v>2.2533823296888591E-7</v>
          </cell>
          <cell r="U780">
            <v>1.4097850000000217E-2</v>
          </cell>
          <cell r="V780">
            <v>1.6043472500000002</v>
          </cell>
        </row>
        <row r="781">
          <cell r="D781" t="str">
            <v>SLOVAKIA-Total - Salaries, Wage and Benefits, M$</v>
          </cell>
          <cell r="E781">
            <v>0</v>
          </cell>
          <cell r="F781">
            <v>2.9250999999999999E-2</v>
          </cell>
          <cell r="G781">
            <v>2.9250999999999999E-2</v>
          </cell>
          <cell r="H781">
            <v>0.16125500000000001</v>
          </cell>
          <cell r="I781">
            <v>0</v>
          </cell>
          <cell r="J781">
            <v>0</v>
          </cell>
          <cell r="K781">
            <v>0</v>
          </cell>
          <cell r="L781">
            <v>0</v>
          </cell>
          <cell r="M781">
            <v>0.11998677466176703</v>
          </cell>
          <cell r="N781">
            <v>0</v>
          </cell>
          <cell r="O781">
            <v>0.11998677466176703</v>
          </cell>
          <cell r="P781">
            <v>0</v>
          </cell>
          <cell r="Q781">
            <v>7.1299199460935295E-8</v>
          </cell>
          <cell r="R781">
            <v>1.540390335079506E-7</v>
          </cell>
          <cell r="S781">
            <v>0</v>
          </cell>
          <cell r="T781">
            <v>2.2533823296888591E-7</v>
          </cell>
          <cell r="U781">
            <v>3.3698849999999995E-2</v>
          </cell>
          <cell r="V781">
            <v>0.34419185000000002</v>
          </cell>
        </row>
        <row r="782">
          <cell r="D782" t="str">
            <v>SLOVAKIA-Total - XOM Employee SWB, M$</v>
          </cell>
          <cell r="E782">
            <v>0</v>
          </cell>
          <cell r="F782">
            <v>2.9250999999999999E-2</v>
          </cell>
          <cell r="G782">
            <v>2.9250999999999999E-2</v>
          </cell>
          <cell r="H782">
            <v>0.151255</v>
          </cell>
          <cell r="I782">
            <v>0</v>
          </cell>
          <cell r="J782">
            <v>0</v>
          </cell>
          <cell r="K782">
            <v>0</v>
          </cell>
          <cell r="L782">
            <v>0</v>
          </cell>
          <cell r="M782">
            <v>0.11998677466176703</v>
          </cell>
          <cell r="N782">
            <v>0</v>
          </cell>
          <cell r="O782">
            <v>0.11998677466176703</v>
          </cell>
          <cell r="P782">
            <v>0</v>
          </cell>
          <cell r="Q782">
            <v>7.1299199460935295E-8</v>
          </cell>
          <cell r="R782">
            <v>1.540390335079506E-7</v>
          </cell>
          <cell r="S782">
            <v>0</v>
          </cell>
          <cell r="T782">
            <v>2.2533823296888591E-7</v>
          </cell>
          <cell r="U782">
            <v>3.3698849999999995E-2</v>
          </cell>
          <cell r="V782">
            <v>0.33419185000000001</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2.0421999999999999E-2</v>
          </cell>
          <cell r="G784">
            <v>2.0421999999999999E-2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4.9500000000000002E-2</v>
          </cell>
          <cell r="V784">
            <v>0.20266099999999998</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0.40700000000000003</v>
          </cell>
          <cell r="N787">
            <v>0</v>
          </cell>
          <cell r="O787">
            <v>0.40700000000000003</v>
          </cell>
          <cell r="P787">
            <v>0</v>
          </cell>
          <cell r="Q787">
            <v>0</v>
          </cell>
          <cell r="R787">
            <v>0</v>
          </cell>
          <cell r="S787">
            <v>0</v>
          </cell>
          <cell r="T787">
            <v>0</v>
          </cell>
          <cell r="U787">
            <v>0</v>
          </cell>
          <cell r="V787">
            <v>0.40700000000000003</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2.0000000000000002E-5</v>
          </cell>
          <cell r="N789">
            <v>0</v>
          </cell>
          <cell r="O789">
            <v>2.0000000000000002E-5</v>
          </cell>
          <cell r="P789">
            <v>0</v>
          </cell>
          <cell r="Q789">
            <v>0</v>
          </cell>
          <cell r="R789">
            <v>0</v>
          </cell>
          <cell r="S789">
            <v>0</v>
          </cell>
          <cell r="T789">
            <v>0</v>
          </cell>
          <cell r="U789">
            <v>0</v>
          </cell>
          <cell r="V789">
            <v>2.0000000000000002E-5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0.33986899999999998</v>
          </cell>
          <cell r="G793">
            <v>0.33986899999999998</v>
          </cell>
          <cell r="H793">
            <v>5.8329999999999996E-3</v>
          </cell>
          <cell r="I793">
            <v>0</v>
          </cell>
          <cell r="J793">
            <v>0</v>
          </cell>
          <cell r="K793">
            <v>0</v>
          </cell>
          <cell r="L793">
            <v>0</v>
          </cell>
          <cell r="M793">
            <v>0.36621599999999999</v>
          </cell>
          <cell r="N793">
            <v>0</v>
          </cell>
          <cell r="O793">
            <v>0.36621599999999999</v>
          </cell>
          <cell r="P793">
            <v>7.6574E-3</v>
          </cell>
          <cell r="Q793">
            <v>0</v>
          </cell>
          <cell r="R793">
            <v>0</v>
          </cell>
          <cell r="S793">
            <v>0</v>
          </cell>
          <cell r="T793">
            <v>0</v>
          </cell>
          <cell r="U793">
            <v>-6.9100999999999996E-2</v>
          </cell>
          <cell r="V793">
            <v>0.65047440000000001</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2.2204460492503131E-16</v>
          </cell>
          <cell r="V794">
            <v>2.2204460492503131E-16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2.4485601726730009</v>
          </cell>
          <cell r="F798">
            <v>6.6622566596573005</v>
          </cell>
          <cell r="G798">
            <v>9.1108168323303005</v>
          </cell>
          <cell r="H798">
            <v>0.71915700000000005</v>
          </cell>
          <cell r="I798">
            <v>0</v>
          </cell>
          <cell r="J798">
            <v>0.20371959730399999</v>
          </cell>
          <cell r="K798">
            <v>0</v>
          </cell>
          <cell r="L798">
            <v>0.20371959730399999</v>
          </cell>
          <cell r="M798">
            <v>6.9595579999999995</v>
          </cell>
          <cell r="N798">
            <v>0.36224242804533002</v>
          </cell>
          <cell r="O798">
            <v>7.3218004280453295</v>
          </cell>
          <cell r="P798">
            <v>0.14952299999999999</v>
          </cell>
          <cell r="Q798">
            <v>8.3220306043E-2</v>
          </cell>
          <cell r="R798">
            <v>0.15110117431109998</v>
          </cell>
          <cell r="S798">
            <v>0</v>
          </cell>
          <cell r="T798">
            <v>0.2343214803541</v>
          </cell>
          <cell r="U798">
            <v>3.4140733291100178E-2</v>
          </cell>
          <cell r="V798">
            <v>17.773479071324832</v>
          </cell>
        </row>
        <row r="799">
          <cell r="D799" t="str">
            <v>SPAIN-Total - Salaries, Wage and Benefits, M$</v>
          </cell>
          <cell r="E799">
            <v>0.64745994774999982</v>
          </cell>
          <cell r="F799">
            <v>0.37058999999999997</v>
          </cell>
          <cell r="G799">
            <v>1.0180499477499998</v>
          </cell>
          <cell r="H799">
            <v>0.65750500000000001</v>
          </cell>
          <cell r="I799">
            <v>0</v>
          </cell>
          <cell r="J799">
            <v>0.13649475537</v>
          </cell>
          <cell r="K799">
            <v>0</v>
          </cell>
          <cell r="L799">
            <v>0.13649475537</v>
          </cell>
          <cell r="M799">
            <v>1.8716689999999998</v>
          </cell>
          <cell r="N799">
            <v>0.17835811609999999</v>
          </cell>
          <cell r="O799">
            <v>2.0500271160999999</v>
          </cell>
          <cell r="P799">
            <v>0.112258</v>
          </cell>
          <cell r="Q799">
            <v>6.9734242180000003E-2</v>
          </cell>
          <cell r="R799">
            <v>7.028873860599999E-2</v>
          </cell>
          <cell r="S799">
            <v>0</v>
          </cell>
          <cell r="T799">
            <v>0.14002298078600001</v>
          </cell>
          <cell r="U799">
            <v>0.20499999999999999</v>
          </cell>
          <cell r="V799">
            <v>4.3193578000060002</v>
          </cell>
        </row>
        <row r="800">
          <cell r="D800" t="str">
            <v>SPAIN-Total - XOM Employee SWB, M$</v>
          </cell>
          <cell r="E800">
            <v>0.51352099999999989</v>
          </cell>
          <cell r="F800">
            <v>0.37058999999999997</v>
          </cell>
          <cell r="G800">
            <v>0.88411099999999987</v>
          </cell>
          <cell r="H800">
            <v>0.65750500000000001</v>
          </cell>
          <cell r="I800">
            <v>0</v>
          </cell>
          <cell r="J800">
            <v>0.12822675537</v>
          </cell>
          <cell r="K800">
            <v>0</v>
          </cell>
          <cell r="L800">
            <v>0.12822675537</v>
          </cell>
          <cell r="M800">
            <v>1.8716689999999998</v>
          </cell>
          <cell r="N800">
            <v>0.17835811609999999</v>
          </cell>
          <cell r="O800">
            <v>2.0500271160999999</v>
          </cell>
          <cell r="P800">
            <v>0.112258</v>
          </cell>
          <cell r="Q800">
            <v>6.9734242180000003E-2</v>
          </cell>
          <cell r="R800">
            <v>7.028873860599999E-2</v>
          </cell>
          <cell r="S800">
            <v>0</v>
          </cell>
          <cell r="T800">
            <v>0.14002298078600001</v>
          </cell>
          <cell r="U800">
            <v>0.20499999999999999</v>
          </cell>
          <cell r="V800">
            <v>4.1771508522560001</v>
          </cell>
        </row>
        <row r="801">
          <cell r="D801" t="str">
            <v>SPAIN-Total - Contract Employee SWB, M$</v>
          </cell>
          <cell r="E801">
            <v>0.13393894774999998</v>
          </cell>
          <cell r="F801">
            <v>0</v>
          </cell>
          <cell r="G801">
            <v>0.13393894774999998</v>
          </cell>
          <cell r="H801">
            <v>0</v>
          </cell>
          <cell r="I801">
            <v>0</v>
          </cell>
          <cell r="J801">
            <v>8.2679999999999993E-3</v>
          </cell>
          <cell r="K801">
            <v>0</v>
          </cell>
          <cell r="L801">
            <v>8.2679999999999993E-3</v>
          </cell>
          <cell r="M801">
            <v>0</v>
          </cell>
          <cell r="N801">
            <v>0</v>
          </cell>
          <cell r="O801">
            <v>0</v>
          </cell>
          <cell r="P801">
            <v>0</v>
          </cell>
          <cell r="Q801">
            <v>0</v>
          </cell>
          <cell r="R801">
            <v>0</v>
          </cell>
          <cell r="S801">
            <v>0</v>
          </cell>
          <cell r="T801">
            <v>0</v>
          </cell>
          <cell r="U801">
            <v>0</v>
          </cell>
          <cell r="V801">
            <v>0.14220694774999998</v>
          </cell>
        </row>
        <row r="802">
          <cell r="D802" t="str">
            <v>SPAIN-Total - Employee Expenses (T&amp;E), M$</v>
          </cell>
          <cell r="E802">
            <v>5.1729734118199998E-2</v>
          </cell>
          <cell r="F802">
            <v>1.03551551473E-2</v>
          </cell>
          <cell r="G802">
            <v>6.2084889265500001E-2</v>
          </cell>
          <cell r="H802">
            <v>4.4999999999999998E-2</v>
          </cell>
          <cell r="I802">
            <v>0</v>
          </cell>
          <cell r="J802">
            <v>2.3358419340000001E-3</v>
          </cell>
          <cell r="K802">
            <v>0</v>
          </cell>
          <cell r="L802">
            <v>2.3358419340000001E-3</v>
          </cell>
          <cell r="M802">
            <v>0.484655</v>
          </cell>
          <cell r="N802">
            <v>7.0138971429999997E-5</v>
          </cell>
          <cell r="O802">
            <v>0.48472513897142999</v>
          </cell>
          <cell r="P802">
            <v>3.5999999999999997E-2</v>
          </cell>
          <cell r="Q802">
            <v>1.9637268289999999E-2</v>
          </cell>
          <cell r="R802">
            <v>1.5024601916E-2</v>
          </cell>
          <cell r="S802">
            <v>0</v>
          </cell>
          <cell r="T802">
            <v>3.4661870205999999E-2</v>
          </cell>
          <cell r="U802">
            <v>3.8964128457000001E-2</v>
          </cell>
          <cell r="V802">
            <v>0.70377186883393006</v>
          </cell>
        </row>
        <row r="803">
          <cell r="D803" t="str">
            <v>SPAIN-Total - Training Expenses, M$</v>
          </cell>
          <cell r="E803">
            <v>0</v>
          </cell>
          <cell r="F803">
            <v>0</v>
          </cell>
          <cell r="G803">
            <v>0</v>
          </cell>
          <cell r="H803">
            <v>1.0121E-2</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3.2112639999999999</v>
          </cell>
          <cell r="N805">
            <v>0</v>
          </cell>
          <cell r="O805">
            <v>3.2112639999999999</v>
          </cell>
          <cell r="P805">
            <v>0</v>
          </cell>
          <cell r="Q805">
            <v>0</v>
          </cell>
          <cell r="R805">
            <v>0</v>
          </cell>
          <cell r="S805">
            <v>0</v>
          </cell>
          <cell r="T805">
            <v>0</v>
          </cell>
          <cell r="U805">
            <v>0</v>
          </cell>
          <cell r="V805">
            <v>3.2112639999999999</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2.0000000000000002E-5</v>
          </cell>
          <cell r="N807">
            <v>0</v>
          </cell>
          <cell r="O807">
            <v>2.0000000000000002E-5</v>
          </cell>
          <cell r="P807">
            <v>0</v>
          </cell>
          <cell r="Q807">
            <v>0</v>
          </cell>
          <cell r="R807">
            <v>0</v>
          </cell>
          <cell r="S807">
            <v>0</v>
          </cell>
          <cell r="T807">
            <v>0</v>
          </cell>
          <cell r="U807">
            <v>0</v>
          </cell>
          <cell r="V807">
            <v>2.0000000000000002E-5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1.7493704908048011</v>
          </cell>
          <cell r="F811">
            <v>6.2813115045100005</v>
          </cell>
          <cell r="G811">
            <v>8.0306819953148008</v>
          </cell>
          <cell r="H811">
            <v>6.5310000000000003E-3</v>
          </cell>
          <cell r="I811">
            <v>0</v>
          </cell>
          <cell r="J811">
            <v>6.4889000000000002E-2</v>
          </cell>
          <cell r="K811">
            <v>0</v>
          </cell>
          <cell r="L811">
            <v>6.4889000000000002E-2</v>
          </cell>
          <cell r="M811">
            <v>1.2821619999999998</v>
          </cell>
          <cell r="N811">
            <v>0.18381417297390001</v>
          </cell>
          <cell r="O811">
            <v>1.4659761729738998</v>
          </cell>
          <cell r="P811">
            <v>1.2650000000000001E-3</v>
          </cell>
          <cell r="Q811">
            <v>-6.1512044270000009E-3</v>
          </cell>
          <cell r="R811">
            <v>6.5787833789099998E-2</v>
          </cell>
          <cell r="S811">
            <v>0</v>
          </cell>
          <cell r="T811">
            <v>5.9636629362099999E-2</v>
          </cell>
          <cell r="U811">
            <v>1.0578323340999999E-3</v>
          </cell>
          <cell r="V811">
            <v>9.6300376299849013</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-0.21088122749999982</v>
          </cell>
          <cell r="V812">
            <v>-0.21088122749999982</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5.4586110573012006</v>
          </cell>
          <cell r="F816">
            <v>2.5586581987630002</v>
          </cell>
          <cell r="G816">
            <v>8.0172692560641998</v>
          </cell>
          <cell r="H816">
            <v>7.7532000000000004E-2</v>
          </cell>
          <cell r="I816">
            <v>0.27637097852500003</v>
          </cell>
          <cell r="J816">
            <v>0.38601665001050001</v>
          </cell>
          <cell r="K816">
            <v>0</v>
          </cell>
          <cell r="L816">
            <v>0.66238762853549993</v>
          </cell>
          <cell r="M816">
            <v>4.6956806339261679</v>
          </cell>
          <cell r="N816">
            <v>0.30523958242929994</v>
          </cell>
          <cell r="O816">
            <v>5.0009202163554685</v>
          </cell>
          <cell r="P816">
            <v>0.1207473801</v>
          </cell>
          <cell r="Q816">
            <v>0</v>
          </cell>
          <cell r="R816">
            <v>-2.4929656751339723E-7</v>
          </cell>
          <cell r="S816">
            <v>0</v>
          </cell>
          <cell r="T816">
            <v>-2.4929656751339723E-7</v>
          </cell>
          <cell r="U816">
            <v>-1.1660802878150984</v>
          </cell>
          <cell r="V816">
            <v>12.7127759439435</v>
          </cell>
        </row>
        <row r="817">
          <cell r="D817" t="str">
            <v>SWEDEN-Total - Salaries, Wage and Benefits, M$</v>
          </cell>
          <cell r="E817">
            <v>2.2426006410060007</v>
          </cell>
          <cell r="F817">
            <v>0.28483883123600001</v>
          </cell>
          <cell r="G817">
            <v>2.5274394722420004</v>
          </cell>
          <cell r="H817">
            <v>5.1948000000000001E-2</v>
          </cell>
          <cell r="I817">
            <v>9.2851000000000003E-2</v>
          </cell>
          <cell r="J817">
            <v>0.21551415833000001</v>
          </cell>
          <cell r="K817">
            <v>0</v>
          </cell>
          <cell r="L817">
            <v>0.30836515833</v>
          </cell>
          <cell r="M817">
            <v>1.5438849791811675</v>
          </cell>
          <cell r="N817">
            <v>0.11579960684769999</v>
          </cell>
          <cell r="O817">
            <v>1.6596845860288676</v>
          </cell>
          <cell r="P817">
            <v>0</v>
          </cell>
          <cell r="Q817">
            <v>0</v>
          </cell>
          <cell r="R817">
            <v>2.0818832483584062E-8</v>
          </cell>
          <cell r="S817">
            <v>0</v>
          </cell>
          <cell r="T817">
            <v>2.0818832483584062E-8</v>
          </cell>
          <cell r="U817">
            <v>-0.17429666552999995</v>
          </cell>
          <cell r="V817">
            <v>4.3731405718897003</v>
          </cell>
        </row>
        <row r="818">
          <cell r="D818" t="str">
            <v>SWEDEN-Total - XOM Employee SWB, M$</v>
          </cell>
          <cell r="E818">
            <v>2.1148745383320007</v>
          </cell>
          <cell r="F818">
            <v>0.29084014146000003</v>
          </cell>
          <cell r="G818">
            <v>2.4057146797920006</v>
          </cell>
          <cell r="H818">
            <v>4.7225000000000003E-2</v>
          </cell>
          <cell r="I818">
            <v>9.2851000000000003E-2</v>
          </cell>
          <cell r="J818">
            <v>0.21551415833000001</v>
          </cell>
          <cell r="K818">
            <v>0</v>
          </cell>
          <cell r="L818">
            <v>0.30836515833</v>
          </cell>
          <cell r="M818">
            <v>1.5438849791811675</v>
          </cell>
          <cell r="N818">
            <v>0.11579960684769999</v>
          </cell>
          <cell r="O818">
            <v>1.6596845860288676</v>
          </cell>
          <cell r="P818">
            <v>0</v>
          </cell>
          <cell r="Q818">
            <v>0</v>
          </cell>
          <cell r="R818">
            <v>2.0818832483584062E-8</v>
          </cell>
          <cell r="S818">
            <v>0</v>
          </cell>
          <cell r="T818">
            <v>2.0818832483584062E-8</v>
          </cell>
          <cell r="U818">
            <v>-0.17429666552999995</v>
          </cell>
          <cell r="V818">
            <v>4.2466927794397007</v>
          </cell>
        </row>
        <row r="819">
          <cell r="D819" t="str">
            <v>SWEDEN-Total - Contract Employee SWB, M$</v>
          </cell>
          <cell r="E819">
            <v>0.127726102674</v>
          </cell>
          <cell r="F819">
            <v>-6.0013102240000001E-3</v>
          </cell>
          <cell r="G819">
            <v>0.12172479245000001</v>
          </cell>
          <cell r="H819">
            <v>4.7229999999999998E-3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0.12644779245000001</v>
          </cell>
        </row>
        <row r="820">
          <cell r="D820" t="str">
            <v>SWEDEN-Total - Employee Expenses (T&amp;E), M$</v>
          </cell>
          <cell r="E820">
            <v>8.2872270523000002E-2</v>
          </cell>
          <cell r="F820">
            <v>3.405969209E-3</v>
          </cell>
          <cell r="G820">
            <v>8.6278239732000009E-2</v>
          </cell>
          <cell r="H820">
            <v>1.771E-3</v>
          </cell>
          <cell r="I820">
            <v>0.01</v>
          </cell>
          <cell r="J820">
            <v>1.2159807680000001E-2</v>
          </cell>
          <cell r="K820">
            <v>0</v>
          </cell>
          <cell r="L820">
            <v>2.2159807680000001E-2</v>
          </cell>
          <cell r="M820">
            <v>0.45</v>
          </cell>
          <cell r="N820">
            <v>1.054917451E-2</v>
          </cell>
          <cell r="O820">
            <v>0.46054917450999999</v>
          </cell>
          <cell r="P820">
            <v>0</v>
          </cell>
          <cell r="Q820">
            <v>0</v>
          </cell>
          <cell r="R820">
            <v>0</v>
          </cell>
          <cell r="S820">
            <v>0</v>
          </cell>
          <cell r="T820">
            <v>0</v>
          </cell>
          <cell r="U820">
            <v>6.2786312790000007E-2</v>
          </cell>
          <cell r="V820">
            <v>0.63354453471200012</v>
          </cell>
        </row>
        <row r="821">
          <cell r="D821" t="str">
            <v>SWEDEN-Total - Training Expenses, M$</v>
          </cell>
          <cell r="E821">
            <v>1.1523724918699999E-2</v>
          </cell>
          <cell r="F821">
            <v>8.2451475800000005E-4</v>
          </cell>
          <cell r="G821">
            <v>1.2348239676699999E-2</v>
          </cell>
          <cell r="H821">
            <v>0</v>
          </cell>
          <cell r="I821">
            <v>0</v>
          </cell>
          <cell r="J821">
            <v>5.6298446279999992E-4</v>
          </cell>
          <cell r="K821">
            <v>0</v>
          </cell>
          <cell r="L821">
            <v>5.6298446279999992E-4</v>
          </cell>
          <cell r="M821">
            <v>1.3029999999999999E-3</v>
          </cell>
          <cell r="N821">
            <v>0</v>
          </cell>
          <cell r="O821">
            <v>1.3029999999999999E-3</v>
          </cell>
          <cell r="P821">
            <v>0</v>
          </cell>
          <cell r="Q821">
            <v>0</v>
          </cell>
          <cell r="R821">
            <v>0</v>
          </cell>
          <cell r="S821">
            <v>0</v>
          </cell>
          <cell r="T821">
            <v>0</v>
          </cell>
          <cell r="U821">
            <v>0</v>
          </cell>
          <cell r="V821">
            <v>1.4214224139499999E-2</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0.45521400000000001</v>
          </cell>
          <cell r="N823">
            <v>0</v>
          </cell>
          <cell r="O823">
            <v>0.45521400000000001</v>
          </cell>
          <cell r="P823">
            <v>0</v>
          </cell>
          <cell r="Q823">
            <v>0</v>
          </cell>
          <cell r="R823">
            <v>0</v>
          </cell>
          <cell r="S823">
            <v>0</v>
          </cell>
          <cell r="T823">
            <v>0</v>
          </cell>
          <cell r="U823">
            <v>0</v>
          </cell>
          <cell r="V823">
            <v>0.45521400000000001</v>
          </cell>
        </row>
        <row r="824">
          <cell r="D824" t="str">
            <v>SWEDEN-Maintenance and Repairs, M$</v>
          </cell>
          <cell r="E824">
            <v>7.0999999999999994E-2</v>
          </cell>
          <cell r="F824">
            <v>0</v>
          </cell>
          <cell r="G824">
            <v>7.0999999999999994E-2</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7.0999999999999994E-2</v>
          </cell>
        </row>
        <row r="825">
          <cell r="D825" t="str">
            <v>SWEDEN-Depreciation, M$</v>
          </cell>
          <cell r="E825">
            <v>0</v>
          </cell>
          <cell r="F825">
            <v>0</v>
          </cell>
          <cell r="G825">
            <v>0</v>
          </cell>
          <cell r="H825">
            <v>0</v>
          </cell>
          <cell r="I825">
            <v>0</v>
          </cell>
          <cell r="J825">
            <v>0</v>
          </cell>
          <cell r="K825">
            <v>0</v>
          </cell>
          <cell r="L825">
            <v>0</v>
          </cell>
          <cell r="M825">
            <v>2.0000000000000002E-5</v>
          </cell>
          <cell r="N825">
            <v>0</v>
          </cell>
          <cell r="O825">
            <v>2.0000000000000002E-5</v>
          </cell>
          <cell r="P825">
            <v>0</v>
          </cell>
          <cell r="Q825">
            <v>0</v>
          </cell>
          <cell r="R825">
            <v>0</v>
          </cell>
          <cell r="S825">
            <v>0</v>
          </cell>
          <cell r="T825">
            <v>0</v>
          </cell>
          <cell r="U825">
            <v>0</v>
          </cell>
          <cell r="V825">
            <v>2.0000000000000002E-5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3.0506144208534995</v>
          </cell>
          <cell r="F829">
            <v>2.26958888356</v>
          </cell>
          <cell r="G829">
            <v>5.3202033044135</v>
          </cell>
          <cell r="H829">
            <v>2.3813000000000001E-2</v>
          </cell>
          <cell r="I829">
            <v>0.17351997852500001</v>
          </cell>
          <cell r="J829">
            <v>0.15777969953769999</v>
          </cell>
          <cell r="K829">
            <v>0</v>
          </cell>
          <cell r="L829">
            <v>0.3312996780627</v>
          </cell>
          <cell r="M829">
            <v>2.2452586547450002</v>
          </cell>
          <cell r="N829">
            <v>0.17889080107159996</v>
          </cell>
          <cell r="O829">
            <v>2.4241494558166004</v>
          </cell>
          <cell r="P829">
            <v>0.1207473801</v>
          </cell>
          <cell r="Q829">
            <v>0</v>
          </cell>
          <cell r="R829">
            <v>-2.7011539999698131E-7</v>
          </cell>
          <cell r="S829">
            <v>0</v>
          </cell>
          <cell r="T829">
            <v>-2.7011539999698131E-7</v>
          </cell>
          <cell r="U829">
            <v>0.43888140892490002</v>
          </cell>
          <cell r="V829">
            <v>8.6590939572022982</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-1.4934513439999986</v>
          </cell>
          <cell r="V830">
            <v>-1.4934513439999986</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0.76198399999999988</v>
          </cell>
          <cell r="F834">
            <v>1.2485030000000001</v>
          </cell>
          <cell r="G834">
            <v>2.0104869999999999</v>
          </cell>
          <cell r="H834">
            <v>0.52568499999999996</v>
          </cell>
          <cell r="I834">
            <v>0</v>
          </cell>
          <cell r="J834">
            <v>0</v>
          </cell>
          <cell r="K834">
            <v>0</v>
          </cell>
          <cell r="L834">
            <v>0</v>
          </cell>
          <cell r="M834">
            <v>3.2040726800213677</v>
          </cell>
          <cell r="N834">
            <v>-5.6121691343867575E-2</v>
          </cell>
          <cell r="O834">
            <v>3.1479509886775001</v>
          </cell>
          <cell r="P834">
            <v>0</v>
          </cell>
          <cell r="Q834">
            <v>2.5348653749425322E-3</v>
          </cell>
          <cell r="R834">
            <v>0.11031579537555732</v>
          </cell>
          <cell r="S834">
            <v>3.849E-3</v>
          </cell>
          <cell r="T834">
            <v>0.11669966075049985</v>
          </cell>
          <cell r="U834">
            <v>0.39337699999999909</v>
          </cell>
          <cell r="V834">
            <v>6.1941996494279996</v>
          </cell>
        </row>
        <row r="835">
          <cell r="D835" t="str">
            <v>SWITZERLAND-Total - Salaries, Wage and Benefits, M$</v>
          </cell>
          <cell r="E835">
            <v>0.58805399999999997</v>
          </cell>
          <cell r="F835">
            <v>9.9998000000000004E-2</v>
          </cell>
          <cell r="G835">
            <v>0.688052</v>
          </cell>
          <cell r="H835">
            <v>0.45061200000000001</v>
          </cell>
          <cell r="I835">
            <v>0</v>
          </cell>
          <cell r="J835">
            <v>0</v>
          </cell>
          <cell r="K835">
            <v>0</v>
          </cell>
          <cell r="L835">
            <v>0</v>
          </cell>
          <cell r="M835">
            <v>1.5740466400213677</v>
          </cell>
          <cell r="N835">
            <v>0.18511291089813245</v>
          </cell>
          <cell r="O835">
            <v>1.7591595509195002</v>
          </cell>
          <cell r="P835">
            <v>0</v>
          </cell>
          <cell r="Q835">
            <v>-1.7946462505746767E-4</v>
          </cell>
          <cell r="R835">
            <v>9.8353537555732418E-4</v>
          </cell>
          <cell r="S835">
            <v>0</v>
          </cell>
          <cell r="T835">
            <v>8.0407075049985653E-4</v>
          </cell>
          <cell r="U835">
            <v>0.15390799999999999</v>
          </cell>
          <cell r="V835">
            <v>3.0525356216700006</v>
          </cell>
        </row>
        <row r="836">
          <cell r="D836" t="str">
            <v>SWITZERLAND-Total - XOM Employee SWB, M$</v>
          </cell>
          <cell r="E836">
            <v>0.559697</v>
          </cell>
          <cell r="F836">
            <v>9.9998000000000004E-2</v>
          </cell>
          <cell r="G836">
            <v>0.65969500000000003</v>
          </cell>
          <cell r="H836">
            <v>0.45009399999999999</v>
          </cell>
          <cell r="I836">
            <v>0</v>
          </cell>
          <cell r="J836">
            <v>0</v>
          </cell>
          <cell r="K836">
            <v>0</v>
          </cell>
          <cell r="L836">
            <v>0</v>
          </cell>
          <cell r="M836">
            <v>1.5734576400213678</v>
          </cell>
          <cell r="N836">
            <v>0.18511291089813245</v>
          </cell>
          <cell r="O836">
            <v>1.7585705509195002</v>
          </cell>
          <cell r="P836">
            <v>0</v>
          </cell>
          <cell r="Q836">
            <v>-1.7946462505746767E-4</v>
          </cell>
          <cell r="R836">
            <v>9.8353537555732418E-4</v>
          </cell>
          <cell r="S836">
            <v>0</v>
          </cell>
          <cell r="T836">
            <v>8.0407075049985653E-4</v>
          </cell>
          <cell r="U836">
            <v>0.15390799999999999</v>
          </cell>
          <cell r="V836">
            <v>3.0230716216700007</v>
          </cell>
        </row>
        <row r="837">
          <cell r="D837" t="str">
            <v>SWITZERLAND-Total - Contract Employee SWB, M$</v>
          </cell>
          <cell r="E837">
            <v>2.8357E-2</v>
          </cell>
          <cell r="F837">
            <v>0</v>
          </cell>
          <cell r="G837">
            <v>2.8357E-2</v>
          </cell>
          <cell r="H837">
            <v>5.1800000000000001E-4</v>
          </cell>
          <cell r="I837">
            <v>0</v>
          </cell>
          <cell r="J837">
            <v>0</v>
          </cell>
          <cell r="K837">
            <v>0</v>
          </cell>
          <cell r="L837">
            <v>0</v>
          </cell>
          <cell r="M837">
            <v>5.8900000000000001E-4</v>
          </cell>
          <cell r="N837">
            <v>0</v>
          </cell>
          <cell r="O837">
            <v>5.8900000000000001E-4</v>
          </cell>
          <cell r="P837">
            <v>0</v>
          </cell>
          <cell r="Q837">
            <v>0</v>
          </cell>
          <cell r="R837">
            <v>0</v>
          </cell>
          <cell r="S837">
            <v>0</v>
          </cell>
          <cell r="T837">
            <v>0</v>
          </cell>
          <cell r="U837">
            <v>0</v>
          </cell>
          <cell r="V837">
            <v>2.9464000000000001E-2</v>
          </cell>
        </row>
        <row r="838">
          <cell r="D838" t="str">
            <v>SWITZERLAND-Total - Employee Expenses (T&amp;E), M$</v>
          </cell>
          <cell r="E838">
            <v>8.208E-3</v>
          </cell>
          <cell r="F838">
            <v>0</v>
          </cell>
          <cell r="G838">
            <v>8.208E-3</v>
          </cell>
          <cell r="H838">
            <v>0</v>
          </cell>
          <cell r="I838">
            <v>0</v>
          </cell>
          <cell r="J838">
            <v>0</v>
          </cell>
          <cell r="K838">
            <v>0</v>
          </cell>
          <cell r="L838">
            <v>0</v>
          </cell>
          <cell r="M838">
            <v>0.36530999999999997</v>
          </cell>
          <cell r="N838">
            <v>6.6121366030000003E-2</v>
          </cell>
          <cell r="O838">
            <v>0.43143136602999999</v>
          </cell>
          <cell r="P838">
            <v>0</v>
          </cell>
          <cell r="Q838">
            <v>0</v>
          </cell>
          <cell r="R838">
            <v>0</v>
          </cell>
          <cell r="S838">
            <v>0</v>
          </cell>
          <cell r="T838">
            <v>0</v>
          </cell>
          <cell r="U838">
            <v>1.7687999999999999E-2</v>
          </cell>
          <cell r="V838">
            <v>0.45732736602999996</v>
          </cell>
        </row>
        <row r="839">
          <cell r="D839" t="str">
            <v>SWITZERLAND-Total - Training Expenses, M$</v>
          </cell>
          <cell r="E839">
            <v>0</v>
          </cell>
          <cell r="F839">
            <v>0</v>
          </cell>
          <cell r="G839">
            <v>0</v>
          </cell>
          <cell r="H839">
            <v>0</v>
          </cell>
          <cell r="I839">
            <v>0</v>
          </cell>
          <cell r="J839">
            <v>0</v>
          </cell>
          <cell r="K839">
            <v>0</v>
          </cell>
          <cell r="L839">
            <v>0</v>
          </cell>
          <cell r="M839">
            <v>1.1199000000000001E-2</v>
          </cell>
          <cell r="N839">
            <v>0</v>
          </cell>
          <cell r="O839">
            <v>1.1199000000000001E-2</v>
          </cell>
          <cell r="P839">
            <v>0</v>
          </cell>
          <cell r="Q839">
            <v>0</v>
          </cell>
          <cell r="R839">
            <v>0</v>
          </cell>
          <cell r="S839">
            <v>0</v>
          </cell>
          <cell r="T839">
            <v>0</v>
          </cell>
          <cell r="U839">
            <v>0</v>
          </cell>
          <cell r="V839">
            <v>1.1199000000000001E-2</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0.40242800000000001</v>
          </cell>
          <cell r="N841">
            <v>0</v>
          </cell>
          <cell r="O841">
            <v>0.40242800000000001</v>
          </cell>
          <cell r="P841">
            <v>0</v>
          </cell>
          <cell r="Q841">
            <v>0</v>
          </cell>
          <cell r="R841">
            <v>0</v>
          </cell>
          <cell r="S841">
            <v>0</v>
          </cell>
          <cell r="T841">
            <v>0</v>
          </cell>
          <cell r="U841">
            <v>0</v>
          </cell>
          <cell r="V841">
            <v>0.40242800000000001</v>
          </cell>
        </row>
        <row r="842">
          <cell r="D842" t="str">
            <v>SWITZERLAND-Maintenance and Repairs, M$</v>
          </cell>
          <cell r="E842">
            <v>1.2E-2</v>
          </cell>
          <cell r="F842">
            <v>0</v>
          </cell>
          <cell r="G842">
            <v>1.2E-2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1.2E-2</v>
          </cell>
        </row>
        <row r="843">
          <cell r="D843" t="str">
            <v>SWITZERLAND-Depreciation, M$</v>
          </cell>
          <cell r="E843">
            <v>0</v>
          </cell>
          <cell r="F843">
            <v>0</v>
          </cell>
          <cell r="G843">
            <v>0</v>
          </cell>
          <cell r="H843">
            <v>5.0859000000000001E-2</v>
          </cell>
          <cell r="I843">
            <v>0</v>
          </cell>
          <cell r="J843">
            <v>0</v>
          </cell>
          <cell r="K843">
            <v>0</v>
          </cell>
          <cell r="L843">
            <v>0</v>
          </cell>
          <cell r="M843">
            <v>2.0000000000000002E-5</v>
          </cell>
          <cell r="N843">
            <v>0</v>
          </cell>
          <cell r="O843">
            <v>2.0000000000000002E-5</v>
          </cell>
          <cell r="P843">
            <v>0</v>
          </cell>
          <cell r="Q843">
            <v>0</v>
          </cell>
          <cell r="R843">
            <v>0</v>
          </cell>
          <cell r="S843">
            <v>0</v>
          </cell>
          <cell r="T843">
            <v>0</v>
          </cell>
          <cell r="U843">
            <v>2.3396E-2</v>
          </cell>
          <cell r="V843">
            <v>7.4275000000000008E-2</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0.15372199999999991</v>
          </cell>
          <cell r="F847">
            <v>1.1485050000000001</v>
          </cell>
          <cell r="G847">
            <v>1.302227</v>
          </cell>
          <cell r="H847">
            <v>2.4213999999999999E-2</v>
          </cell>
          <cell r="I847">
            <v>0</v>
          </cell>
          <cell r="J847">
            <v>0</v>
          </cell>
          <cell r="K847">
            <v>0</v>
          </cell>
          <cell r="L847">
            <v>0</v>
          </cell>
          <cell r="M847">
            <v>0.85106903999999994</v>
          </cell>
          <cell r="N847">
            <v>-0.30735596827200001</v>
          </cell>
          <cell r="O847">
            <v>0.54371307172799987</v>
          </cell>
          <cell r="P847">
            <v>0</v>
          </cell>
          <cell r="Q847">
            <v>2.71433E-3</v>
          </cell>
          <cell r="R847">
            <v>0.10933225999999999</v>
          </cell>
          <cell r="S847">
            <v>3.849E-3</v>
          </cell>
          <cell r="T847">
            <v>0.11589558999999999</v>
          </cell>
          <cell r="U847">
            <v>0.19838500000000001</v>
          </cell>
          <cell r="V847">
            <v>2.1844346617279999</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-8.8817841970012523E-16</v>
          </cell>
          <cell r="V848">
            <v>-8.8817841970012523E-16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5.085243472000001</v>
          </cell>
          <cell r="F852">
            <v>2.5839625359999996</v>
          </cell>
          <cell r="G852">
            <v>7.6692060079999997</v>
          </cell>
          <cell r="H852">
            <v>0.99993504</v>
          </cell>
          <cell r="I852">
            <v>6.4738999999999991E-2</v>
          </cell>
          <cell r="J852">
            <v>0.30976286399999997</v>
          </cell>
          <cell r="K852">
            <v>0</v>
          </cell>
          <cell r="L852">
            <v>0.37450186400000002</v>
          </cell>
          <cell r="M852">
            <v>8.5317723520000008</v>
          </cell>
          <cell r="N852">
            <v>0.67928407200000007</v>
          </cell>
          <cell r="O852">
            <v>9.2110564239999988</v>
          </cell>
          <cell r="P852">
            <v>0.23844679200000002</v>
          </cell>
          <cell r="Q852">
            <v>0</v>
          </cell>
          <cell r="R852">
            <v>2.198064E-3</v>
          </cell>
          <cell r="S852">
            <v>0</v>
          </cell>
          <cell r="T852">
            <v>2.198064E-3</v>
          </cell>
          <cell r="U852">
            <v>-0.92056130400000191</v>
          </cell>
          <cell r="V852">
            <v>17.574782887999994</v>
          </cell>
        </row>
        <row r="853">
          <cell r="D853" t="str">
            <v>TURKEY-Total - Salaries, Wage and Benefits, M$</v>
          </cell>
          <cell r="E853">
            <v>2.22798944</v>
          </cell>
          <cell r="F853">
            <v>0.21451400800000001</v>
          </cell>
          <cell r="G853">
            <v>2.4425034479999996</v>
          </cell>
          <cell r="H853">
            <v>0.71035599999999999</v>
          </cell>
          <cell r="I853">
            <v>6.1800000000000001E-2</v>
          </cell>
          <cell r="J853">
            <v>0.19619346400000001</v>
          </cell>
          <cell r="K853">
            <v>0</v>
          </cell>
          <cell r="L853">
            <v>0.25799346400000001</v>
          </cell>
          <cell r="M853">
            <v>1.7128590400000001</v>
          </cell>
          <cell r="N853">
            <v>0.38318428800000004</v>
          </cell>
          <cell r="O853">
            <v>2.0960433279999999</v>
          </cell>
          <cell r="P853">
            <v>0.18640000000000001</v>
          </cell>
          <cell r="Q853">
            <v>0</v>
          </cell>
          <cell r="R853">
            <v>0</v>
          </cell>
          <cell r="S853">
            <v>0</v>
          </cell>
          <cell r="T853">
            <v>0</v>
          </cell>
          <cell r="U853">
            <v>0.24754399999999999</v>
          </cell>
          <cell r="V853">
            <v>5.94084024</v>
          </cell>
        </row>
        <row r="854">
          <cell r="D854" t="str">
            <v>TURKEY-Total - XOM Employee SWB, M$</v>
          </cell>
          <cell r="E854">
            <v>2.1559612079999999</v>
          </cell>
          <cell r="F854">
            <v>0.204748664</v>
          </cell>
          <cell r="G854">
            <v>2.3607098719999997</v>
          </cell>
          <cell r="H854">
            <v>0.69799999999999995</v>
          </cell>
          <cell r="I854">
            <v>6.1800000000000001E-2</v>
          </cell>
          <cell r="J854">
            <v>0.19619346400000001</v>
          </cell>
          <cell r="K854">
            <v>0</v>
          </cell>
          <cell r="L854">
            <v>0.25799346400000001</v>
          </cell>
          <cell r="M854">
            <v>1.711108936</v>
          </cell>
          <cell r="N854">
            <v>0.38288203200000004</v>
          </cell>
          <cell r="O854">
            <v>2.093990968</v>
          </cell>
          <cell r="P854">
            <v>0.18640000000000001</v>
          </cell>
          <cell r="Q854">
            <v>0</v>
          </cell>
          <cell r="R854">
            <v>0</v>
          </cell>
          <cell r="S854">
            <v>0</v>
          </cell>
          <cell r="T854">
            <v>0</v>
          </cell>
          <cell r="U854">
            <v>0.24754399999999999</v>
          </cell>
          <cell r="V854">
            <v>5.8446383040000001</v>
          </cell>
        </row>
        <row r="855">
          <cell r="D855" t="str">
            <v>TURKEY-Total - Contract Employee SWB, M$</v>
          </cell>
          <cell r="E855">
            <v>7.2028232000000011E-2</v>
          </cell>
          <cell r="F855">
            <v>9.7653440000000005E-3</v>
          </cell>
          <cell r="G855">
            <v>8.1793576000000007E-2</v>
          </cell>
          <cell r="H855">
            <v>1.2356000000000001E-2</v>
          </cell>
          <cell r="I855">
            <v>0</v>
          </cell>
          <cell r="J855">
            <v>0</v>
          </cell>
          <cell r="K855">
            <v>0</v>
          </cell>
          <cell r="L855">
            <v>0</v>
          </cell>
          <cell r="M855">
            <v>1.7501039999999999E-3</v>
          </cell>
          <cell r="N855">
            <v>3.0225599999999999E-4</v>
          </cell>
          <cell r="O855">
            <v>2.05236E-3</v>
          </cell>
          <cell r="P855">
            <v>0</v>
          </cell>
          <cell r="Q855">
            <v>0</v>
          </cell>
          <cell r="R855">
            <v>0</v>
          </cell>
          <cell r="S855">
            <v>0</v>
          </cell>
          <cell r="T855">
            <v>0</v>
          </cell>
          <cell r="U855">
            <v>0</v>
          </cell>
          <cell r="V855">
            <v>9.6201936000000016E-2</v>
          </cell>
        </row>
        <row r="856">
          <cell r="D856" t="str">
            <v>TURKEY-Total - Employee Expenses (T&amp;E), M$</v>
          </cell>
          <cell r="E856">
            <v>0.131412152</v>
          </cell>
          <cell r="F856">
            <v>1.1738800000000002E-3</v>
          </cell>
          <cell r="G856">
            <v>0.13258603199999999</v>
          </cell>
          <cell r="H856">
            <v>2.9031263999999998E-2</v>
          </cell>
          <cell r="I856">
            <v>1.5E-3</v>
          </cell>
          <cell r="J856">
            <v>8.3908479999999994E-3</v>
          </cell>
          <cell r="K856">
            <v>0</v>
          </cell>
          <cell r="L856">
            <v>9.890847999999999E-3</v>
          </cell>
          <cell r="M856">
            <v>0.379975856</v>
          </cell>
          <cell r="N856">
            <v>3.3000000000000002E-2</v>
          </cell>
          <cell r="O856">
            <v>0.41297585599999997</v>
          </cell>
          <cell r="P856">
            <v>3.5999999999999997E-2</v>
          </cell>
          <cell r="Q856">
            <v>0</v>
          </cell>
          <cell r="R856">
            <v>0</v>
          </cell>
          <cell r="S856">
            <v>0</v>
          </cell>
          <cell r="T856">
            <v>0</v>
          </cell>
          <cell r="U856">
            <v>0</v>
          </cell>
          <cell r="V856">
            <v>0.62048400000000004</v>
          </cell>
        </row>
        <row r="857">
          <cell r="D857" t="str">
            <v>TURKEY-Total - Training Expenses, M$</v>
          </cell>
          <cell r="E857">
            <v>8.6396000000000042E-4</v>
          </cell>
          <cell r="F857">
            <v>0</v>
          </cell>
          <cell r="G857">
            <v>8.6396000000000042E-4</v>
          </cell>
          <cell r="H857">
            <v>0</v>
          </cell>
          <cell r="I857">
            <v>1.439E-3</v>
          </cell>
          <cell r="J857">
            <v>2.1704239999999998E-3</v>
          </cell>
          <cell r="K857">
            <v>0</v>
          </cell>
          <cell r="L857">
            <v>3.609424E-3</v>
          </cell>
          <cell r="M857">
            <v>3.2000151999999997E-2</v>
          </cell>
          <cell r="N857">
            <v>1E-3</v>
          </cell>
          <cell r="O857">
            <v>3.3000151999999998E-2</v>
          </cell>
          <cell r="P857">
            <v>0</v>
          </cell>
          <cell r="Q857">
            <v>0</v>
          </cell>
          <cell r="R857">
            <v>0</v>
          </cell>
          <cell r="S857">
            <v>0</v>
          </cell>
          <cell r="T857">
            <v>0</v>
          </cell>
          <cell r="U857">
            <v>0</v>
          </cell>
          <cell r="V857">
            <v>3.7473536000000002E-2</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1.2160272000000001E-2</v>
          </cell>
          <cell r="O859">
            <v>3.0179492720000001</v>
          </cell>
          <cell r="P859">
            <v>0</v>
          </cell>
          <cell r="Q859">
            <v>0</v>
          </cell>
          <cell r="R859">
            <v>0</v>
          </cell>
          <cell r="S859">
            <v>0</v>
          </cell>
          <cell r="T859">
            <v>0</v>
          </cell>
          <cell r="U859">
            <v>0</v>
          </cell>
          <cell r="V859">
            <v>3.0179492720000001</v>
          </cell>
        </row>
        <row r="860">
          <cell r="D860" t="str">
            <v>TURKEY-Maintenance and Repairs, M$</v>
          </cell>
          <cell r="E860">
            <v>0.22698316800000001</v>
          </cell>
          <cell r="F860">
            <v>0</v>
          </cell>
          <cell r="G860">
            <v>0.22698316800000001</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0.22698316800000001</v>
          </cell>
        </row>
        <row r="861">
          <cell r="D861" t="str">
            <v>TURKEY-Depreciation, M$</v>
          </cell>
          <cell r="E861">
            <v>0</v>
          </cell>
          <cell r="F861">
            <v>0</v>
          </cell>
          <cell r="G861">
            <v>0</v>
          </cell>
          <cell r="H861">
            <v>6.7298399999999994E-2</v>
          </cell>
          <cell r="I861">
            <v>0</v>
          </cell>
          <cell r="J861">
            <v>0</v>
          </cell>
          <cell r="K861">
            <v>0</v>
          </cell>
          <cell r="L861">
            <v>0</v>
          </cell>
          <cell r="M861">
            <v>1.1000000000000001E-5</v>
          </cell>
          <cell r="N861">
            <v>0</v>
          </cell>
          <cell r="O861">
            <v>1.1000000000000001E-5</v>
          </cell>
          <cell r="P861">
            <v>0</v>
          </cell>
          <cell r="Q861">
            <v>0</v>
          </cell>
          <cell r="R861">
            <v>0</v>
          </cell>
          <cell r="S861">
            <v>0</v>
          </cell>
          <cell r="T861">
            <v>0</v>
          </cell>
          <cell r="U861">
            <v>0</v>
          </cell>
          <cell r="V861">
            <v>6.7309399999999991E-2</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2.4979947520000008</v>
          </cell>
          <cell r="F865">
            <v>2.3682746479999994</v>
          </cell>
          <cell r="G865">
            <v>4.8662694000000002</v>
          </cell>
          <cell r="H865">
            <v>0.193249376</v>
          </cell>
          <cell r="I865">
            <v>0</v>
          </cell>
          <cell r="J865">
            <v>0.10300812799999998</v>
          </cell>
          <cell r="K865">
            <v>0</v>
          </cell>
          <cell r="L865">
            <v>0.10300812799999998</v>
          </cell>
          <cell r="M865">
            <v>3.4011373039999997</v>
          </cell>
          <cell r="N865">
            <v>0.249939512</v>
          </cell>
          <cell r="O865">
            <v>3.6510768159999998</v>
          </cell>
          <cell r="P865">
            <v>1.6046792000000001E-2</v>
          </cell>
          <cell r="Q865">
            <v>0</v>
          </cell>
          <cell r="R865">
            <v>2.198064E-3</v>
          </cell>
          <cell r="S865">
            <v>0</v>
          </cell>
          <cell r="T865">
            <v>2.198064E-3</v>
          </cell>
          <cell r="U865">
            <v>4.5358696000000004E-2</v>
          </cell>
          <cell r="V865">
            <v>8.8772072719999962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-1.2134640000000019</v>
          </cell>
          <cell r="V866">
            <v>-1.2134640000000019</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18.945619642029577</v>
          </cell>
          <cell r="F870">
            <v>27.467055015819959</v>
          </cell>
          <cell r="G870">
            <v>46.412674657849543</v>
          </cell>
          <cell r="H870">
            <v>4.764918851620001</v>
          </cell>
          <cell r="I870">
            <v>-4.2942903230000051E-2</v>
          </cell>
          <cell r="J870">
            <v>0.44084206473318505</v>
          </cell>
          <cell r="K870">
            <v>0</v>
          </cell>
          <cell r="L870">
            <v>0.39789916150318527</v>
          </cell>
          <cell r="M870">
            <v>36.811104437322129</v>
          </cell>
          <cell r="N870">
            <v>1.6720341624406001</v>
          </cell>
          <cell r="O870">
            <v>38.483138599762725</v>
          </cell>
          <cell r="P870">
            <v>0.33212845590000051</v>
          </cell>
          <cell r="Q870">
            <v>0.42128484138740008</v>
          </cell>
          <cell r="R870">
            <v>0.39733754260739967</v>
          </cell>
          <cell r="S870">
            <v>2.8024680129311044</v>
          </cell>
          <cell r="T870">
            <v>3.6210903969259034</v>
          </cell>
          <cell r="U870">
            <v>-2.2585602119270747</v>
          </cell>
          <cell r="V870">
            <v>91.753289911634283</v>
          </cell>
        </row>
        <row r="871">
          <cell r="D871" t="str">
            <v>UK-Total - Salaries, Wage and Benefits, M$</v>
          </cell>
          <cell r="E871">
            <v>10.981993142181857</v>
          </cell>
          <cell r="F871">
            <v>2.3678334747501832</v>
          </cell>
          <cell r="G871">
            <v>13.349826616932042</v>
          </cell>
          <cell r="H871">
            <v>4.0219315089300007</v>
          </cell>
          <cell r="I871">
            <v>0.755</v>
          </cell>
          <cell r="J871">
            <v>0.35368487569689233</v>
          </cell>
          <cell r="K871">
            <v>0</v>
          </cell>
          <cell r="L871">
            <v>1.1086848756968923</v>
          </cell>
          <cell r="M871">
            <v>16.107417402587</v>
          </cell>
          <cell r="N871">
            <v>1.9984502913517002</v>
          </cell>
          <cell r="O871">
            <v>18.105867693938698</v>
          </cell>
          <cell r="P871">
            <v>0.29522845590000052</v>
          </cell>
          <cell r="Q871">
            <v>0.44139963097000001</v>
          </cell>
          <cell r="R871">
            <v>0.19534016647810004</v>
          </cell>
          <cell r="S871">
            <v>1.1974854951009999</v>
          </cell>
          <cell r="T871">
            <v>1.8342252925490998</v>
          </cell>
          <cell r="U871">
            <v>4.7726478248598418</v>
          </cell>
          <cell r="V871">
            <v>43.488412268806577</v>
          </cell>
        </row>
        <row r="872">
          <cell r="D872" t="str">
            <v>UK-Total - XOM Employee SWB, M$</v>
          </cell>
          <cell r="E872">
            <v>7.1803286364898335</v>
          </cell>
          <cell r="F872">
            <v>2.4214820609749261</v>
          </cell>
          <cell r="G872">
            <v>9.6018106974647601</v>
          </cell>
          <cell r="H872">
            <v>2.2387215974100001</v>
          </cell>
          <cell r="I872">
            <v>0.755</v>
          </cell>
          <cell r="J872">
            <v>0.22215177159139785</v>
          </cell>
          <cell r="K872">
            <v>0</v>
          </cell>
          <cell r="L872">
            <v>0.97715177159139788</v>
          </cell>
          <cell r="M872">
            <v>11.677086220553999</v>
          </cell>
          <cell r="N872">
            <v>1.9870688236117002</v>
          </cell>
          <cell r="O872">
            <v>13.6641550441657</v>
          </cell>
          <cell r="P872">
            <v>0.29522845590000052</v>
          </cell>
          <cell r="Q872">
            <v>0.44139963097000001</v>
          </cell>
          <cell r="R872">
            <v>0.19534016647810004</v>
          </cell>
          <cell r="S872">
            <v>1.1904994125199999</v>
          </cell>
          <cell r="T872">
            <v>1.8272392099680999</v>
          </cell>
          <cell r="U872">
            <v>4.4354715603153263</v>
          </cell>
          <cell r="V872">
            <v>33.039778336815289</v>
          </cell>
        </row>
        <row r="873">
          <cell r="D873" t="str">
            <v>UK-Total - Contract Employee SWB, M$</v>
          </cell>
          <cell r="E873">
            <v>3.801664505692024</v>
          </cell>
          <cell r="F873">
            <v>-5.3648586224743E-2</v>
          </cell>
          <cell r="G873">
            <v>3.7480159194672811</v>
          </cell>
          <cell r="H873">
            <v>1.7832099115200002</v>
          </cell>
          <cell r="I873">
            <v>0</v>
          </cell>
          <cell r="J873">
            <v>0.13153310410549451</v>
          </cell>
          <cell r="K873">
            <v>0</v>
          </cell>
          <cell r="L873">
            <v>0.13153310410549451</v>
          </cell>
          <cell r="M873">
            <v>4.430331182033</v>
          </cell>
          <cell r="N873">
            <v>1.138146774E-2</v>
          </cell>
          <cell r="O873">
            <v>4.4417126497729997</v>
          </cell>
          <cell r="P873">
            <v>0</v>
          </cell>
          <cell r="Q873">
            <v>0</v>
          </cell>
          <cell r="R873">
            <v>0</v>
          </cell>
          <cell r="S873">
            <v>6.9860825810000001E-3</v>
          </cell>
          <cell r="T873">
            <v>6.9860825810000001E-3</v>
          </cell>
          <cell r="U873">
            <v>0.33717626454451599</v>
          </cell>
          <cell r="V873">
            <v>10.44863393199129</v>
          </cell>
        </row>
        <row r="874">
          <cell r="D874" t="str">
            <v>UK-Total - Employee Expenses (T&amp;E), M$</v>
          </cell>
          <cell r="E874">
            <v>0.30789777712158811</v>
          </cell>
          <cell r="F874">
            <v>3.7154270955973054E-2</v>
          </cell>
          <cell r="G874">
            <v>0.34505204807756118</v>
          </cell>
          <cell r="H874">
            <v>4.8940668381999994E-2</v>
          </cell>
          <cell r="I874">
            <v>0.14330000000000001</v>
          </cell>
          <cell r="J874">
            <v>5.0691474193548377E-3</v>
          </cell>
          <cell r="K874">
            <v>0</v>
          </cell>
          <cell r="L874">
            <v>0.14836914741935484</v>
          </cell>
          <cell r="M874">
            <v>1.5065969063858242</v>
          </cell>
          <cell r="N874">
            <v>0.36179671000000002</v>
          </cell>
          <cell r="O874">
            <v>1.8683936163858244</v>
          </cell>
          <cell r="P874">
            <v>3.6899999999999974E-2</v>
          </cell>
          <cell r="Q874">
            <v>4.496043903E-2</v>
          </cell>
          <cell r="R874">
            <v>2.5363381615999998E-2</v>
          </cell>
          <cell r="S874">
            <v>0.1289134042</v>
          </cell>
          <cell r="T874">
            <v>0.19923722484599998</v>
          </cell>
          <cell r="U874">
            <v>0.36293457803870899</v>
          </cell>
          <cell r="V874">
            <v>3.0098272831494497</v>
          </cell>
        </row>
        <row r="875">
          <cell r="D875" t="str">
            <v>UK-Total - Training Expenses, M$</v>
          </cell>
          <cell r="E875">
            <v>2.5403864516129033E-3</v>
          </cell>
          <cell r="F875">
            <v>2.6977074193548383E-3</v>
          </cell>
          <cell r="G875">
            <v>5.2380938709677416E-3</v>
          </cell>
          <cell r="H875">
            <v>0</v>
          </cell>
          <cell r="I875">
            <v>0</v>
          </cell>
          <cell r="J875">
            <v>0</v>
          </cell>
          <cell r="K875">
            <v>0</v>
          </cell>
          <cell r="L875">
            <v>0</v>
          </cell>
          <cell r="M875">
            <v>2.5403864520000003E-3</v>
          </cell>
          <cell r="N875">
            <v>0</v>
          </cell>
          <cell r="O875">
            <v>2.5403864520000003E-3</v>
          </cell>
          <cell r="P875">
            <v>0</v>
          </cell>
          <cell r="Q875">
            <v>0</v>
          </cell>
          <cell r="R875">
            <v>0</v>
          </cell>
          <cell r="S875">
            <v>7.9585364520000004E-3</v>
          </cell>
          <cell r="T875">
            <v>7.9585364520000004E-3</v>
          </cell>
          <cell r="U875">
            <v>0</v>
          </cell>
          <cell r="V875">
            <v>1.5737016774967742E-2</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4.1140410000000003</v>
          </cell>
          <cell r="N877">
            <v>0</v>
          </cell>
          <cell r="O877">
            <v>4.1140410000000003</v>
          </cell>
          <cell r="P877">
            <v>0</v>
          </cell>
          <cell r="Q877">
            <v>0</v>
          </cell>
          <cell r="R877">
            <v>0</v>
          </cell>
          <cell r="S877">
            <v>3.2000000000000001E-2</v>
          </cell>
          <cell r="T877">
            <v>3.2000000000000001E-2</v>
          </cell>
          <cell r="U877">
            <v>0</v>
          </cell>
          <cell r="V877">
            <v>4.1460410000000003</v>
          </cell>
        </row>
        <row r="878">
          <cell r="D878" t="str">
            <v>UK-Maintenance and Repairs, M$</v>
          </cell>
          <cell r="E878">
            <v>8.2726510839560438E-2</v>
          </cell>
          <cell r="F878">
            <v>9.9983843225806446E-2</v>
          </cell>
          <cell r="G878">
            <v>0.1827103540653669</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0.1827103540653669</v>
          </cell>
        </row>
        <row r="879">
          <cell r="D879" t="str">
            <v>UK-Depreciation, M$</v>
          </cell>
          <cell r="E879">
            <v>0</v>
          </cell>
          <cell r="F879">
            <v>0</v>
          </cell>
          <cell r="G879">
            <v>0</v>
          </cell>
          <cell r="H879">
            <v>0.14401341935499998</v>
          </cell>
          <cell r="I879">
            <v>1.056609677E-2</v>
          </cell>
          <cell r="J879">
            <v>0</v>
          </cell>
          <cell r="K879">
            <v>0</v>
          </cell>
          <cell r="L879">
            <v>1.056609677E-2</v>
          </cell>
          <cell r="M879">
            <v>3.1000000000000001E-5</v>
          </cell>
          <cell r="N879">
            <v>0</v>
          </cell>
          <cell r="O879">
            <v>3.1000000000000001E-5</v>
          </cell>
          <cell r="P879">
            <v>0</v>
          </cell>
          <cell r="Q879">
            <v>0</v>
          </cell>
          <cell r="R879">
            <v>0</v>
          </cell>
          <cell r="S879">
            <v>0</v>
          </cell>
          <cell r="T879">
            <v>0</v>
          </cell>
          <cell r="U879">
            <v>0.59743693547419396</v>
          </cell>
          <cell r="V879">
            <v>0.75204745159919395</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7.5704618254349576</v>
          </cell>
          <cell r="F883">
            <v>24.959385719468642</v>
          </cell>
          <cell r="G883">
            <v>32.529847544903603</v>
          </cell>
          <cell r="H883">
            <v>0.55003325495300004</v>
          </cell>
          <cell r="I883">
            <v>-0.95180900000000002</v>
          </cell>
          <cell r="J883">
            <v>8.2088041616937904E-2</v>
          </cell>
          <cell r="K883">
            <v>0</v>
          </cell>
          <cell r="L883">
            <v>-0.86972095838306207</v>
          </cell>
          <cell r="M883">
            <v>15.080477741897303</v>
          </cell>
          <cell r="N883">
            <v>-0.68821283891110019</v>
          </cell>
          <cell r="O883">
            <v>14.392264902986202</v>
          </cell>
          <cell r="P883">
            <v>0</v>
          </cell>
          <cell r="Q883">
            <v>-6.5075228612599983E-2</v>
          </cell>
          <cell r="R883">
            <v>0.17663399451329964</v>
          </cell>
          <cell r="S883">
            <v>1.4361105771781042</v>
          </cell>
          <cell r="T883">
            <v>1.5476693430788038</v>
          </cell>
          <cell r="U883">
            <v>-3.7379064292998003</v>
          </cell>
          <cell r="V883">
            <v>44.412187658238757</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-4.2536731210000198</v>
          </cell>
          <cell r="V884">
            <v>-4.2536731210000198</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8.2299999999999998E-2</v>
          </cell>
          <cell r="I888">
            <v>0</v>
          </cell>
          <cell r="J888">
            <v>0</v>
          </cell>
          <cell r="K888">
            <v>0</v>
          </cell>
          <cell r="L888">
            <v>0</v>
          </cell>
          <cell r="M888">
            <v>2.3779789999999998</v>
          </cell>
          <cell r="N888">
            <v>0</v>
          </cell>
          <cell r="O888">
            <v>2.3779789999999998</v>
          </cell>
          <cell r="P888">
            <v>0</v>
          </cell>
          <cell r="Q888">
            <v>0</v>
          </cell>
          <cell r="R888">
            <v>0</v>
          </cell>
          <cell r="S888">
            <v>0</v>
          </cell>
          <cell r="T888">
            <v>0</v>
          </cell>
          <cell r="U888">
            <v>8.7000000000000008E-2</v>
          </cell>
          <cell r="V888">
            <v>2.697279</v>
          </cell>
        </row>
        <row r="889">
          <cell r="D889" t="str">
            <v>UKRAINE-Total - Salaries, Wage and Benefits, M$</v>
          </cell>
          <cell r="E889">
            <v>0</v>
          </cell>
          <cell r="F889">
            <v>0</v>
          </cell>
          <cell r="G889">
            <v>0</v>
          </cell>
          <cell r="H889">
            <v>2.8000000000000001E-2</v>
          </cell>
          <cell r="I889">
            <v>0</v>
          </cell>
          <cell r="J889">
            <v>0</v>
          </cell>
          <cell r="K889">
            <v>0</v>
          </cell>
          <cell r="L889">
            <v>0</v>
          </cell>
          <cell r="M889">
            <v>0.24500999999999998</v>
          </cell>
          <cell r="N889">
            <v>0</v>
          </cell>
          <cell r="O889">
            <v>0.24500999999999998</v>
          </cell>
          <cell r="P889">
            <v>0</v>
          </cell>
          <cell r="Q889">
            <v>0</v>
          </cell>
          <cell r="R889">
            <v>0</v>
          </cell>
          <cell r="S889">
            <v>0</v>
          </cell>
          <cell r="T889">
            <v>0</v>
          </cell>
          <cell r="U889">
            <v>6.7000000000000004E-2</v>
          </cell>
          <cell r="V889">
            <v>0.34000999999999998</v>
          </cell>
        </row>
        <row r="890">
          <cell r="D890" t="str">
            <v>UKRAINE-Total - XOM Employee SWB, M$</v>
          </cell>
          <cell r="E890">
            <v>0</v>
          </cell>
          <cell r="F890">
            <v>0</v>
          </cell>
          <cell r="G890">
            <v>0</v>
          </cell>
          <cell r="H890">
            <v>2.8000000000000001E-2</v>
          </cell>
          <cell r="I890">
            <v>0</v>
          </cell>
          <cell r="J890">
            <v>0</v>
          </cell>
          <cell r="K890">
            <v>0</v>
          </cell>
          <cell r="L890">
            <v>0</v>
          </cell>
          <cell r="M890">
            <v>0.24500999999999998</v>
          </cell>
          <cell r="N890">
            <v>0</v>
          </cell>
          <cell r="O890">
            <v>0.24500999999999998</v>
          </cell>
          <cell r="P890">
            <v>0</v>
          </cell>
          <cell r="Q890">
            <v>0</v>
          </cell>
          <cell r="R890">
            <v>0</v>
          </cell>
          <cell r="S890">
            <v>0</v>
          </cell>
          <cell r="T890">
            <v>0</v>
          </cell>
          <cell r="U890">
            <v>6.7000000000000004E-2</v>
          </cell>
          <cell r="V890">
            <v>0.34000999999999998</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0.22199999999999998</v>
          </cell>
          <cell r="N892">
            <v>0</v>
          </cell>
          <cell r="O892">
            <v>0.22199999999999998</v>
          </cell>
          <cell r="P892">
            <v>0</v>
          </cell>
          <cell r="Q892">
            <v>0</v>
          </cell>
          <cell r="R892">
            <v>0</v>
          </cell>
          <cell r="S892">
            <v>0</v>
          </cell>
          <cell r="T892">
            <v>0</v>
          </cell>
          <cell r="U892">
            <v>8.0000000000000002E-3</v>
          </cell>
          <cell r="V892">
            <v>0.24</v>
          </cell>
        </row>
        <row r="893">
          <cell r="D893" t="str">
            <v>UKRAINE-Total - Training Expenses, M$</v>
          </cell>
          <cell r="E893">
            <v>0</v>
          </cell>
          <cell r="F893">
            <v>0</v>
          </cell>
          <cell r="G893">
            <v>0</v>
          </cell>
          <cell r="H893">
            <v>2E-3</v>
          </cell>
          <cell r="I893">
            <v>0</v>
          </cell>
          <cell r="J893">
            <v>0</v>
          </cell>
          <cell r="K893">
            <v>0</v>
          </cell>
          <cell r="L893">
            <v>0</v>
          </cell>
          <cell r="M893">
            <v>0.01</v>
          </cell>
          <cell r="N893">
            <v>0</v>
          </cell>
          <cell r="O893">
            <v>0.01</v>
          </cell>
          <cell r="P893">
            <v>0</v>
          </cell>
          <cell r="Q893">
            <v>0</v>
          </cell>
          <cell r="R893">
            <v>0</v>
          </cell>
          <cell r="S893">
            <v>0</v>
          </cell>
          <cell r="T893">
            <v>0</v>
          </cell>
          <cell r="U893">
            <v>3.0000000000000001E-3</v>
          </cell>
          <cell r="V893">
            <v>1.4999999999999999E-2</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0.75994899999999999</v>
          </cell>
          <cell r="N895">
            <v>0</v>
          </cell>
          <cell r="O895">
            <v>0.75994899999999999</v>
          </cell>
          <cell r="P895">
            <v>0</v>
          </cell>
          <cell r="Q895">
            <v>0</v>
          </cell>
          <cell r="R895">
            <v>0</v>
          </cell>
          <cell r="S895">
            <v>0</v>
          </cell>
          <cell r="T895">
            <v>0</v>
          </cell>
          <cell r="U895">
            <v>0</v>
          </cell>
          <cell r="V895">
            <v>0.75994899999999999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2.0000000000000002E-5</v>
          </cell>
          <cell r="N897">
            <v>0</v>
          </cell>
          <cell r="O897">
            <v>2.0000000000000002E-5</v>
          </cell>
          <cell r="P897">
            <v>0</v>
          </cell>
          <cell r="Q897">
            <v>0</v>
          </cell>
          <cell r="R897">
            <v>0</v>
          </cell>
          <cell r="S897">
            <v>0</v>
          </cell>
          <cell r="T897">
            <v>0</v>
          </cell>
          <cell r="U897">
            <v>0</v>
          </cell>
          <cell r="V897">
            <v>2.0000000000000002E-5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4.2299999999999997E-2</v>
          </cell>
          <cell r="I901">
            <v>0</v>
          </cell>
          <cell r="J901">
            <v>0</v>
          </cell>
          <cell r="K901">
            <v>0</v>
          </cell>
          <cell r="L901">
            <v>0</v>
          </cell>
          <cell r="M901">
            <v>1.141</v>
          </cell>
          <cell r="N901">
            <v>0</v>
          </cell>
          <cell r="O901">
            <v>1.141</v>
          </cell>
          <cell r="P901">
            <v>0</v>
          </cell>
          <cell r="Q901">
            <v>0</v>
          </cell>
          <cell r="R901">
            <v>0</v>
          </cell>
          <cell r="S901">
            <v>0</v>
          </cell>
          <cell r="T901">
            <v>0</v>
          </cell>
          <cell r="U901">
            <v>8.9999999999999993E-3</v>
          </cell>
          <cell r="V901">
            <v>1.3422999999999998</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4.0000000000000003E-5</v>
          </cell>
          <cell r="N906">
            <v>0</v>
          </cell>
          <cell r="O906">
            <v>4.0000000000000003E-5</v>
          </cell>
          <cell r="P906">
            <v>0</v>
          </cell>
          <cell r="Q906">
            <v>1.0000010000000002E-5</v>
          </cell>
          <cell r="R906">
            <v>0</v>
          </cell>
          <cell r="S906">
            <v>0</v>
          </cell>
          <cell r="T906">
            <v>1.0000010000000002E-5</v>
          </cell>
          <cell r="U906">
            <v>71.916280902538531</v>
          </cell>
          <cell r="V906">
            <v>71.916330902548538</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1.0000010000000002E-5</v>
          </cell>
          <cell r="R907">
            <v>0</v>
          </cell>
          <cell r="S907">
            <v>0</v>
          </cell>
          <cell r="T907">
            <v>1.0000010000000002E-5</v>
          </cell>
          <cell r="U907">
            <v>0</v>
          </cell>
          <cell r="V907">
            <v>1.0000010000000002E-5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1.0000010000000002E-5</v>
          </cell>
          <cell r="R908">
            <v>0</v>
          </cell>
          <cell r="S908">
            <v>0</v>
          </cell>
          <cell r="T908">
            <v>1.0000010000000002E-5</v>
          </cell>
          <cell r="U908">
            <v>0</v>
          </cell>
          <cell r="V908">
            <v>1.0000010000000002E-5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1.0000000000000001E-5</v>
          </cell>
          <cell r="N913">
            <v>0</v>
          </cell>
          <cell r="O913">
            <v>1.0000000000000001E-5</v>
          </cell>
          <cell r="P913">
            <v>0</v>
          </cell>
          <cell r="Q913">
            <v>0</v>
          </cell>
          <cell r="R913">
            <v>0</v>
          </cell>
          <cell r="S913">
            <v>0</v>
          </cell>
          <cell r="T913">
            <v>0</v>
          </cell>
          <cell r="U913">
            <v>0</v>
          </cell>
          <cell r="V913">
            <v>1.0000000000000001E-5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2.0000000000000002E-5</v>
          </cell>
          <cell r="N915">
            <v>0</v>
          </cell>
          <cell r="O915">
            <v>2.0000000000000002E-5</v>
          </cell>
          <cell r="P915">
            <v>0</v>
          </cell>
          <cell r="Q915">
            <v>0</v>
          </cell>
          <cell r="R915">
            <v>0</v>
          </cell>
          <cell r="S915">
            <v>0</v>
          </cell>
          <cell r="T915">
            <v>0</v>
          </cell>
          <cell r="U915">
            <v>0</v>
          </cell>
          <cell r="V915">
            <v>2.0000000000000002E-5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1.0000000000000001E-5</v>
          </cell>
          <cell r="N919">
            <v>0</v>
          </cell>
          <cell r="O919">
            <v>1.0000000000000001E-5</v>
          </cell>
          <cell r="P919">
            <v>0</v>
          </cell>
          <cell r="Q919">
            <v>0</v>
          </cell>
          <cell r="R919">
            <v>0</v>
          </cell>
          <cell r="S919">
            <v>0</v>
          </cell>
          <cell r="T919">
            <v>0</v>
          </cell>
          <cell r="U919">
            <v>0</v>
          </cell>
          <cell r="V919">
            <v>1.0000000000000001E-5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71.916280902538531</v>
          </cell>
          <cell r="V920">
            <v>71.916280902538531</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4.3000000000000002E-5</v>
          </cell>
          <cell r="N924">
            <v>2.0000000000000003E-6</v>
          </cell>
          <cell r="O924">
            <v>4.5000000000000003E-5</v>
          </cell>
          <cell r="P924">
            <v>0</v>
          </cell>
          <cell r="Q924">
            <v>1.0000000000000002E-6</v>
          </cell>
          <cell r="R924">
            <v>3.0000000000000005E-6</v>
          </cell>
          <cell r="S924">
            <v>1.0000000000000002E-6</v>
          </cell>
          <cell r="T924">
            <v>5.0000000000000013E-6</v>
          </cell>
          <cell r="U924">
            <v>1.2157362247987302E-15</v>
          </cell>
          <cell r="V924">
            <v>5.0000000001215745E-5</v>
          </cell>
        </row>
        <row r="925">
          <cell r="D925" t="str">
            <v>HQ - EUROPE-Total - Salaries, Wage and Benefits, M$</v>
          </cell>
          <cell r="E925">
            <v>0</v>
          </cell>
          <cell r="F925">
            <v>0</v>
          </cell>
          <cell r="G925">
            <v>0</v>
          </cell>
          <cell r="H925">
            <v>0</v>
          </cell>
          <cell r="I925">
            <v>0</v>
          </cell>
          <cell r="J925">
            <v>0</v>
          </cell>
          <cell r="K925">
            <v>0</v>
          </cell>
          <cell r="L925">
            <v>0</v>
          </cell>
          <cell r="M925">
            <v>3.0000000000000013E-6</v>
          </cell>
          <cell r="N925">
            <v>2.0000000000000003E-6</v>
          </cell>
          <cell r="O925">
            <v>5.0000000000000013E-6</v>
          </cell>
          <cell r="P925">
            <v>0</v>
          </cell>
          <cell r="Q925">
            <v>1.0000000000000002E-6</v>
          </cell>
          <cell r="R925">
            <v>3.0000000000000005E-6</v>
          </cell>
          <cell r="S925">
            <v>1.0000000000000002E-6</v>
          </cell>
          <cell r="T925">
            <v>5.0000000000000013E-6</v>
          </cell>
          <cell r="U925">
            <v>0</v>
          </cell>
          <cell r="V925">
            <v>1.0000000000000003E-5</v>
          </cell>
        </row>
        <row r="926">
          <cell r="D926" t="str">
            <v>HQ - EUROPE-Total - XOM Employee SWB, M$</v>
          </cell>
          <cell r="E926">
            <v>0</v>
          </cell>
          <cell r="F926">
            <v>0</v>
          </cell>
          <cell r="G926">
            <v>0</v>
          </cell>
          <cell r="H926">
            <v>0</v>
          </cell>
          <cell r="I926">
            <v>0</v>
          </cell>
          <cell r="J926">
            <v>0</v>
          </cell>
          <cell r="K926">
            <v>0</v>
          </cell>
          <cell r="L926">
            <v>0</v>
          </cell>
          <cell r="M926">
            <v>3.0000000000000013E-6</v>
          </cell>
          <cell r="N926">
            <v>2.0000000000000003E-6</v>
          </cell>
          <cell r="O926">
            <v>5.0000000000000013E-6</v>
          </cell>
          <cell r="P926">
            <v>0</v>
          </cell>
          <cell r="Q926">
            <v>1.0000000000000002E-6</v>
          </cell>
          <cell r="R926">
            <v>3.0000000000000005E-6</v>
          </cell>
          <cell r="S926">
            <v>1.0000000000000002E-6</v>
          </cell>
          <cell r="T926">
            <v>5.0000000000000013E-6</v>
          </cell>
          <cell r="U926">
            <v>0</v>
          </cell>
          <cell r="V926">
            <v>1.0000000000000003E-5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1.0000000000000001E-5</v>
          </cell>
          <cell r="N931">
            <v>0</v>
          </cell>
          <cell r="O931">
            <v>1.0000000000000001E-5</v>
          </cell>
          <cell r="P931">
            <v>0</v>
          </cell>
          <cell r="Q931">
            <v>0</v>
          </cell>
          <cell r="R931">
            <v>0</v>
          </cell>
          <cell r="S931">
            <v>0</v>
          </cell>
          <cell r="T931">
            <v>0</v>
          </cell>
          <cell r="U931">
            <v>0</v>
          </cell>
          <cell r="V931">
            <v>1.0000000000000001E-5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2.0000000000000002E-5</v>
          </cell>
          <cell r="N933">
            <v>0</v>
          </cell>
          <cell r="O933">
            <v>2.0000000000000002E-5</v>
          </cell>
          <cell r="P933">
            <v>0</v>
          </cell>
          <cell r="Q933">
            <v>0</v>
          </cell>
          <cell r="R933">
            <v>0</v>
          </cell>
          <cell r="S933">
            <v>0</v>
          </cell>
          <cell r="T933">
            <v>0</v>
          </cell>
          <cell r="U933">
            <v>0</v>
          </cell>
          <cell r="V933">
            <v>2.0000000000000002E-5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1.0000000000000001E-5</v>
          </cell>
          <cell r="N937">
            <v>0</v>
          </cell>
          <cell r="O937">
            <v>1.0000000000000001E-5</v>
          </cell>
          <cell r="P937">
            <v>0</v>
          </cell>
          <cell r="Q937">
            <v>0</v>
          </cell>
          <cell r="R937">
            <v>0</v>
          </cell>
          <cell r="S937">
            <v>0</v>
          </cell>
          <cell r="T937">
            <v>0</v>
          </cell>
          <cell r="U937">
            <v>0</v>
          </cell>
          <cell r="V937">
            <v>1.0000000000000001E-5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1.2157362247987302E-15</v>
          </cell>
          <cell r="V938">
            <v>1.2157362247987302E-15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-5.7059999999999995</v>
          </cell>
          <cell r="F942">
            <v>-5.0090000000000003</v>
          </cell>
          <cell r="G942">
            <v>-10.715</v>
          </cell>
          <cell r="H942">
            <v>-0.17699999999999999</v>
          </cell>
          <cell r="I942">
            <v>-1.012</v>
          </cell>
          <cell r="J942">
            <v>0</v>
          </cell>
          <cell r="K942">
            <v>0</v>
          </cell>
          <cell r="L942">
            <v>-1.012</v>
          </cell>
          <cell r="M942">
            <v>-4.907</v>
          </cell>
          <cell r="N942">
            <v>-1.089</v>
          </cell>
          <cell r="O942">
            <v>-5.9960000000000004</v>
          </cell>
          <cell r="P942">
            <v>-2.0169999999999999</v>
          </cell>
          <cell r="Q942">
            <v>0</v>
          </cell>
          <cell r="R942">
            <v>-0.17699999999999999</v>
          </cell>
          <cell r="S942">
            <v>-0.93500000000000005</v>
          </cell>
          <cell r="T942">
            <v>-1.1120000000000001</v>
          </cell>
          <cell r="U942">
            <v>-4.0209669999999953</v>
          </cell>
          <cell r="V942">
            <v>-25.049966999999992</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-5.7059999999999995</v>
          </cell>
          <cell r="F955">
            <v>-5.0090000000000003</v>
          </cell>
          <cell r="G955">
            <v>-10.715</v>
          </cell>
          <cell r="H955">
            <v>-0.17699999999999999</v>
          </cell>
          <cell r="I955">
            <v>-1.012</v>
          </cell>
          <cell r="J955">
            <v>0</v>
          </cell>
          <cell r="K955">
            <v>0</v>
          </cell>
          <cell r="L955">
            <v>-1.012</v>
          </cell>
          <cell r="M955">
            <v>-4.907</v>
          </cell>
          <cell r="N955">
            <v>-1.089</v>
          </cell>
          <cell r="O955">
            <v>-5.9960000000000004</v>
          </cell>
          <cell r="P955">
            <v>-2.0169999999999999</v>
          </cell>
          <cell r="Q955">
            <v>0</v>
          </cell>
          <cell r="R955">
            <v>-0.17699999999999999</v>
          </cell>
          <cell r="S955">
            <v>-0.93500000000000005</v>
          </cell>
          <cell r="T955">
            <v>-1.1120000000000001</v>
          </cell>
          <cell r="U955">
            <v>-7.0000000000000007E-2</v>
          </cell>
          <cell r="V955">
            <v>-21.098999999999997</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-3.950966999999995</v>
          </cell>
          <cell r="V956">
            <v>-3.950966999999995</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0.70000000000000062</v>
          </cell>
          <cell r="V974">
            <v>0.70000000000000062</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4.0999999999999996</v>
          </cell>
          <cell r="F978">
            <v>2.2000000000000002</v>
          </cell>
          <cell r="G978">
            <v>6.3</v>
          </cell>
          <cell r="H978">
            <v>0.5</v>
          </cell>
          <cell r="I978">
            <v>0.1</v>
          </cell>
          <cell r="J978">
            <v>0.6</v>
          </cell>
          <cell r="K978">
            <v>0.2</v>
          </cell>
          <cell r="L978">
            <v>0.9</v>
          </cell>
          <cell r="M978">
            <v>4.9000000000000004</v>
          </cell>
          <cell r="N978">
            <v>-0.3</v>
          </cell>
          <cell r="O978">
            <v>4.5999999999999996</v>
          </cell>
          <cell r="P978">
            <v>2.8</v>
          </cell>
          <cell r="Q978">
            <v>0</v>
          </cell>
          <cell r="R978">
            <v>0</v>
          </cell>
          <cell r="S978">
            <v>0.2</v>
          </cell>
          <cell r="T978">
            <v>0.2</v>
          </cell>
          <cell r="U978">
            <v>0.79999999999999805</v>
          </cell>
          <cell r="V978">
            <v>16.100000000000001</v>
          </cell>
        </row>
        <row r="979">
          <cell r="D979" t="str">
            <v>EGYPT-Total - Salaries, Wage and Benefits, M$</v>
          </cell>
          <cell r="E979">
            <v>1.5</v>
          </cell>
          <cell r="F979">
            <v>0.8</v>
          </cell>
          <cell r="G979">
            <v>2.2999999999999998</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1.1000000000000001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2.2999999999999998</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-0.40000000000000213</v>
          </cell>
          <cell r="V992">
            <v>-0.40000000000000213</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1.1000000000000001</v>
          </cell>
          <cell r="V1010">
            <v>1.1000000000000001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1.1000000000000001</v>
          </cell>
          <cell r="V1028">
            <v>1.1000000000000001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1.1000000000000001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1.1000000000000001</v>
          </cell>
          <cell r="F1058">
            <v>0</v>
          </cell>
          <cell r="G1058">
            <v>1.1000000000000001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-2.2000000000000002</v>
          </cell>
          <cell r="N1063">
            <v>0</v>
          </cell>
          <cell r="O1063">
            <v>-2.2000000000000002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1.1000000000000001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1.1000000000000001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1.1000000000000001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9.9999999999999645E-2</v>
          </cell>
          <cell r="V1118">
            <v>9.9999999999999645E-2</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2.2999999999999998</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2.2999999999999998</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1.1000000000000001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1.1000000000000001</v>
          </cell>
          <cell r="N1135">
            <v>0</v>
          </cell>
          <cell r="O1135">
            <v>1.1000000000000001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-4.6000000000000485E-2</v>
          </cell>
          <cell r="V1158">
            <v>0.25399999999999956</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-4.6000000000000485E-2</v>
          </cell>
          <cell r="V1172">
            <v>-4.6000000000000485E-2</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11.227402500000004</v>
          </cell>
          <cell r="F1176">
            <v>11.523190047619053</v>
          </cell>
          <cell r="G1176">
            <v>22.750592547619057</v>
          </cell>
          <cell r="H1176">
            <v>1.8112538461538434</v>
          </cell>
          <cell r="I1176">
            <v>0.90970499999999987</v>
          </cell>
          <cell r="J1176">
            <v>0.42083333333333334</v>
          </cell>
          <cell r="K1176">
            <v>0</v>
          </cell>
          <cell r="L1176">
            <v>1.3305383333333332</v>
          </cell>
          <cell r="M1176">
            <v>13.805261999999999</v>
          </cell>
          <cell r="N1176">
            <v>0.28810000000000002</v>
          </cell>
          <cell r="O1176">
            <v>14.093361999999997</v>
          </cell>
          <cell r="P1176">
            <v>0.28000000000000003</v>
          </cell>
          <cell r="Q1176">
            <v>1.258386</v>
          </cell>
          <cell r="R1176">
            <v>1.4030000000000002</v>
          </cell>
          <cell r="S1176">
            <v>1.321</v>
          </cell>
          <cell r="T1176">
            <v>3.982386</v>
          </cell>
          <cell r="U1176">
            <v>62.022583809523816</v>
          </cell>
          <cell r="V1176">
            <v>106.27071653663005</v>
          </cell>
        </row>
        <row r="1177">
          <cell r="D1177" t="str">
            <v>AUSTRALIA-Total - Salaries, Wage and Benefits, M$</v>
          </cell>
          <cell r="E1177">
            <v>4.0878988095238098</v>
          </cell>
          <cell r="F1177">
            <v>0.89017857142857137</v>
          </cell>
          <cell r="G1177">
            <v>4.9780773809523815</v>
          </cell>
          <cell r="H1177">
            <v>1.2615384615384586</v>
          </cell>
          <cell r="I1177">
            <v>1.0112989999999999</v>
          </cell>
          <cell r="J1177">
            <v>0.34404761904761905</v>
          </cell>
          <cell r="K1177">
            <v>0</v>
          </cell>
          <cell r="L1177">
            <v>1.3553466190476189</v>
          </cell>
          <cell r="M1177">
            <v>4.9492830000000003</v>
          </cell>
          <cell r="N1177">
            <v>8.8099999999999998E-2</v>
          </cell>
          <cell r="O1177">
            <v>5.0373830000000002</v>
          </cell>
          <cell r="P1177">
            <v>0.22</v>
          </cell>
          <cell r="Q1177">
            <v>4.41E-2</v>
          </cell>
          <cell r="R1177">
            <v>1.2549999999999999</v>
          </cell>
          <cell r="S1177">
            <v>0.626</v>
          </cell>
          <cell r="T1177">
            <v>1.9251000000000003</v>
          </cell>
          <cell r="U1177">
            <v>0.39156249999999998</v>
          </cell>
          <cell r="V1177">
            <v>15.16900796153846</v>
          </cell>
        </row>
        <row r="1178">
          <cell r="D1178" t="str">
            <v>AUSTRALIA-Total - XOM Employee SWB, M$</v>
          </cell>
          <cell r="E1178">
            <v>2.4956369047619051</v>
          </cell>
          <cell r="F1178">
            <v>0.89017857142857137</v>
          </cell>
          <cell r="G1178">
            <v>3.3858154761904764</v>
          </cell>
          <cell r="H1178">
            <v>1.1669230769230743</v>
          </cell>
          <cell r="I1178">
            <v>0.68874899999999994</v>
          </cell>
          <cell r="J1178">
            <v>0.21309523809523809</v>
          </cell>
          <cell r="K1178">
            <v>0</v>
          </cell>
          <cell r="L1178">
            <v>0.90184423809523806</v>
          </cell>
          <cell r="M1178">
            <v>4.6774260000000005</v>
          </cell>
          <cell r="N1178">
            <v>7.2099999999999997E-2</v>
          </cell>
          <cell r="O1178">
            <v>4.7495260000000004</v>
          </cell>
          <cell r="P1178">
            <v>0.22</v>
          </cell>
          <cell r="Q1178">
            <v>4.41E-2</v>
          </cell>
          <cell r="R1178">
            <v>1.2510000000000001</v>
          </cell>
          <cell r="S1178">
            <v>0.52700000000000002</v>
          </cell>
          <cell r="T1178">
            <v>1.8221000000000003</v>
          </cell>
          <cell r="U1178">
            <v>0.39156249999999998</v>
          </cell>
          <cell r="V1178">
            <v>12.637771291208789</v>
          </cell>
        </row>
        <row r="1179">
          <cell r="D1179" t="str">
            <v>AUSTRALIA-Total - Contract Employee SWB, M$</v>
          </cell>
          <cell r="E1179">
            <v>1.5922619047619049</v>
          </cell>
          <cell r="F1179">
            <v>0</v>
          </cell>
          <cell r="G1179">
            <v>1.5922619047619049</v>
          </cell>
          <cell r="H1179">
            <v>9.4615384615384296E-2</v>
          </cell>
          <cell r="I1179">
            <v>0.32255</v>
          </cell>
          <cell r="J1179">
            <v>0.13095238095238096</v>
          </cell>
          <cell r="K1179">
            <v>0</v>
          </cell>
          <cell r="L1179">
            <v>0.45350238095238093</v>
          </cell>
          <cell r="M1179">
            <v>0.27185700000000002</v>
          </cell>
          <cell r="N1179">
            <v>1.6E-2</v>
          </cell>
          <cell r="O1179">
            <v>0.28785700000000003</v>
          </cell>
          <cell r="P1179">
            <v>0</v>
          </cell>
          <cell r="Q1179">
            <v>0</v>
          </cell>
          <cell r="R1179">
            <v>4.0000000000000001E-3</v>
          </cell>
          <cell r="S1179">
            <v>9.9000000000000005E-2</v>
          </cell>
          <cell r="T1179">
            <v>0.10300000000000001</v>
          </cell>
          <cell r="U1179">
            <v>0</v>
          </cell>
          <cell r="V1179">
            <v>2.5312366703296703</v>
          </cell>
        </row>
        <row r="1180">
          <cell r="D1180" t="str">
            <v>AUSTRALIA-Total - Employee Expenses (T&amp;E), M$</v>
          </cell>
          <cell r="E1180">
            <v>0.18511904761904763</v>
          </cell>
          <cell r="F1180">
            <v>0.17857142857142858</v>
          </cell>
          <cell r="G1180">
            <v>0.36369047619047623</v>
          </cell>
          <cell r="H1180">
            <v>0.11714285714285724</v>
          </cell>
          <cell r="I1180">
            <v>0</v>
          </cell>
          <cell r="J1180">
            <v>0</v>
          </cell>
          <cell r="K1180">
            <v>0</v>
          </cell>
          <cell r="L1180">
            <v>0</v>
          </cell>
          <cell r="M1180">
            <v>1.2916609999999999</v>
          </cell>
          <cell r="N1180">
            <v>7.8E-2</v>
          </cell>
          <cell r="O1180">
            <v>1.369661</v>
          </cell>
          <cell r="P1180">
            <v>0.05</v>
          </cell>
          <cell r="Q1180">
            <v>0</v>
          </cell>
          <cell r="R1180">
            <v>4.3999999999999991E-2</v>
          </cell>
          <cell r="S1180">
            <v>0.111</v>
          </cell>
          <cell r="T1180">
            <v>0.155</v>
          </cell>
          <cell r="U1180">
            <v>0</v>
          </cell>
          <cell r="V1180">
            <v>2.0554943333333338</v>
          </cell>
        </row>
        <row r="1181">
          <cell r="D1181" t="str">
            <v>AUSTRALIA-Total - Training Expenses, M$</v>
          </cell>
          <cell r="E1181">
            <v>5.3571428571428572E-3</v>
          </cell>
          <cell r="F1181">
            <v>0.17857142857142858</v>
          </cell>
          <cell r="G1181">
            <v>0.18392857142857144</v>
          </cell>
          <cell r="H1181">
            <v>1.5769230769230744E-2</v>
          </cell>
          <cell r="I1181">
            <v>0</v>
          </cell>
          <cell r="J1181">
            <v>0</v>
          </cell>
          <cell r="K1181">
            <v>0</v>
          </cell>
          <cell r="L1181">
            <v>0</v>
          </cell>
          <cell r="M1181">
            <v>9.9670999999999996E-2</v>
          </cell>
          <cell r="N1181">
            <v>0</v>
          </cell>
          <cell r="O1181">
            <v>9.9670999999999996E-2</v>
          </cell>
          <cell r="P1181">
            <v>0.01</v>
          </cell>
          <cell r="Q1181">
            <v>0</v>
          </cell>
          <cell r="R1181">
            <v>8.0000000000000002E-3</v>
          </cell>
          <cell r="S1181">
            <v>0</v>
          </cell>
          <cell r="T1181">
            <v>8.0000000000000002E-3</v>
          </cell>
          <cell r="U1181">
            <v>0</v>
          </cell>
          <cell r="V1181">
            <v>0.31736880219780222</v>
          </cell>
        </row>
        <row r="1182">
          <cell r="D1182" t="str">
            <v>AUSTRALIA-Total - Consultancy/Professional Fees, M$</v>
          </cell>
          <cell r="E1182">
            <v>8.2738095238095249E-2</v>
          </cell>
          <cell r="F1182">
            <v>0</v>
          </cell>
          <cell r="G1182">
            <v>8.2738095238095249E-2</v>
          </cell>
          <cell r="H1182">
            <v>0</v>
          </cell>
          <cell r="I1182">
            <v>0</v>
          </cell>
          <cell r="J1182">
            <v>0</v>
          </cell>
          <cell r="K1182">
            <v>0</v>
          </cell>
          <cell r="L1182">
            <v>0</v>
          </cell>
          <cell r="M1182">
            <v>2.9849000000000004E-2</v>
          </cell>
          <cell r="N1182">
            <v>0</v>
          </cell>
          <cell r="O1182">
            <v>2.9849000000000004E-2</v>
          </cell>
          <cell r="P1182">
            <v>0</v>
          </cell>
          <cell r="Q1182">
            <v>0</v>
          </cell>
          <cell r="R1182">
            <v>0.05</v>
          </cell>
          <cell r="S1182">
            <v>0.42099999999999999</v>
          </cell>
          <cell r="T1182">
            <v>0.47099999999999997</v>
          </cell>
          <cell r="U1182">
            <v>2.2988095238099526E-3</v>
          </cell>
          <cell r="V1182">
            <v>0.58588590476190516</v>
          </cell>
        </row>
        <row r="1183">
          <cell r="D1183" t="str">
            <v>AUSTRALIA-Advertising and Promotions, M$</v>
          </cell>
          <cell r="E1183">
            <v>0</v>
          </cell>
          <cell r="F1183">
            <v>0</v>
          </cell>
          <cell r="G1183">
            <v>0</v>
          </cell>
          <cell r="H1183">
            <v>0</v>
          </cell>
          <cell r="I1183">
            <v>0</v>
          </cell>
          <cell r="J1183">
            <v>0</v>
          </cell>
          <cell r="K1183">
            <v>0</v>
          </cell>
          <cell r="L1183">
            <v>0</v>
          </cell>
          <cell r="M1183">
            <v>3.1371189999999998</v>
          </cell>
          <cell r="N1183">
            <v>0</v>
          </cell>
          <cell r="O1183">
            <v>3.1371189999999998</v>
          </cell>
          <cell r="P1183">
            <v>0</v>
          </cell>
          <cell r="Q1183">
            <v>0</v>
          </cell>
          <cell r="R1183">
            <v>2E-3</v>
          </cell>
          <cell r="S1183">
            <v>6.4000000000000001E-2</v>
          </cell>
          <cell r="T1183">
            <v>6.6000000000000003E-2</v>
          </cell>
          <cell r="U1183">
            <v>0</v>
          </cell>
          <cell r="V1183">
            <v>3.2031189999999996</v>
          </cell>
        </row>
        <row r="1184">
          <cell r="D1184" t="str">
            <v>AUSTRALIA-Maintenance and Repairs, M$</v>
          </cell>
          <cell r="E1184">
            <v>0.4642857142857143</v>
          </cell>
          <cell r="F1184">
            <v>0</v>
          </cell>
          <cell r="G1184">
            <v>0.4642857142857143</v>
          </cell>
          <cell r="H1184">
            <v>0</v>
          </cell>
          <cell r="I1184">
            <v>0</v>
          </cell>
          <cell r="J1184">
            <v>0</v>
          </cell>
          <cell r="K1184">
            <v>0</v>
          </cell>
          <cell r="L1184">
            <v>0</v>
          </cell>
          <cell r="M1184">
            <v>7.1999999999999995E-2</v>
          </cell>
          <cell r="N1184">
            <v>0</v>
          </cell>
          <cell r="O1184">
            <v>7.1999999999999995E-2</v>
          </cell>
          <cell r="P1184">
            <v>0</v>
          </cell>
          <cell r="Q1184">
            <v>0</v>
          </cell>
          <cell r="R1184">
            <v>0</v>
          </cell>
          <cell r="S1184">
            <v>0</v>
          </cell>
          <cell r="T1184">
            <v>0</v>
          </cell>
          <cell r="U1184">
            <v>0</v>
          </cell>
          <cell r="V1184">
            <v>0.53628571428571425</v>
          </cell>
        </row>
        <row r="1185">
          <cell r="D1185" t="str">
            <v>AUSTRALIA-Depreciation, M$</v>
          </cell>
          <cell r="E1185">
            <v>2.0535714285714284</v>
          </cell>
          <cell r="F1185">
            <v>0</v>
          </cell>
          <cell r="G1185">
            <v>2.0535714285714284</v>
          </cell>
          <cell r="H1185">
            <v>1.3516483516483531E-2</v>
          </cell>
          <cell r="I1185">
            <v>0.10317900000000001</v>
          </cell>
          <cell r="J1185">
            <v>0</v>
          </cell>
          <cell r="K1185">
            <v>0</v>
          </cell>
          <cell r="L1185">
            <v>0.10317900000000001</v>
          </cell>
          <cell r="M1185">
            <v>0.84375599999999995</v>
          </cell>
          <cell r="N1185">
            <v>2E-3</v>
          </cell>
          <cell r="O1185">
            <v>0.84575599999999995</v>
          </cell>
          <cell r="P1185">
            <v>0</v>
          </cell>
          <cell r="Q1185">
            <v>0</v>
          </cell>
          <cell r="R1185">
            <v>1.7999999999999999E-2</v>
          </cell>
          <cell r="S1185">
            <v>2E-3</v>
          </cell>
          <cell r="T1185">
            <v>0.02</v>
          </cell>
          <cell r="U1185">
            <v>0</v>
          </cell>
          <cell r="V1185">
            <v>3.036022912087911</v>
          </cell>
        </row>
        <row r="1186">
          <cell r="D1186" t="str">
            <v>AUSTRALIA-Energy, M$</v>
          </cell>
          <cell r="E1186">
            <v>0.34523809523809529</v>
          </cell>
          <cell r="F1186">
            <v>0</v>
          </cell>
          <cell r="G1186">
            <v>0.34523809523809529</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0.34523809523809529</v>
          </cell>
        </row>
        <row r="1187">
          <cell r="D1187" t="str">
            <v>AUSTRALIA-Direct Allocations from Other Business Lines (eg. FM, Chem), $M</v>
          </cell>
          <cell r="E1187">
            <v>5.9523809523809527E-2</v>
          </cell>
          <cell r="F1187">
            <v>0</v>
          </cell>
          <cell r="G1187">
            <v>5.9523809523809527E-2</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5.9523809523809527E-2</v>
          </cell>
        </row>
        <row r="1188">
          <cell r="D1188" t="str">
            <v>AUSTRALIA-Freight Cost, M$</v>
          </cell>
          <cell r="E1188">
            <v>0</v>
          </cell>
          <cell r="F1188">
            <v>9.6018579047619106</v>
          </cell>
          <cell r="G1188">
            <v>9.6018579047619106</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9.6018579047619106</v>
          </cell>
        </row>
        <row r="1189">
          <cell r="D1189" t="str">
            <v>AUSTRALIA-Other Direct OPEX, M$</v>
          </cell>
          <cell r="E1189">
            <v>3.9436703571428602</v>
          </cell>
          <cell r="F1189">
            <v>0.67401071428571424</v>
          </cell>
          <cell r="G1189">
            <v>4.6176810714285743</v>
          </cell>
          <cell r="H1189">
            <v>0.40328681318681331</v>
          </cell>
          <cell r="I1189">
            <v>-0.20477299999999998</v>
          </cell>
          <cell r="J1189">
            <v>7.678571428571429E-2</v>
          </cell>
          <cell r="K1189">
            <v>0</v>
          </cell>
          <cell r="L1189">
            <v>-0.12798728571428569</v>
          </cell>
          <cell r="M1189">
            <v>3.3819229999999996</v>
          </cell>
          <cell r="N1189">
            <v>0.12</v>
          </cell>
          <cell r="O1189">
            <v>3.5019229999999997</v>
          </cell>
          <cell r="P1189">
            <v>0</v>
          </cell>
          <cell r="Q1189">
            <v>1.214286</v>
          </cell>
          <cell r="R1189">
            <v>2.5999999999999995E-2</v>
          </cell>
          <cell r="S1189">
            <v>9.7000000000000003E-2</v>
          </cell>
          <cell r="T1189">
            <v>1.337286</v>
          </cell>
          <cell r="U1189">
            <v>0.23613869047619002</v>
          </cell>
          <cell r="V1189">
            <v>9.9683282893772898</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61.392583809523813</v>
          </cell>
          <cell r="V1190">
            <v>61.392583809523813</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11.990616442028983</v>
          </cell>
          <cell r="F1212">
            <v>9.0638180444444441</v>
          </cell>
          <cell r="G1212">
            <v>21.054434486473429</v>
          </cell>
          <cell r="H1212">
            <v>1.3017000000000001</v>
          </cell>
          <cell r="I1212">
            <v>0.51500000000000001</v>
          </cell>
          <cell r="J1212">
            <v>0.37043236714975847</v>
          </cell>
          <cell r="K1212">
            <v>0</v>
          </cell>
          <cell r="L1212">
            <v>0.88543236714975848</v>
          </cell>
          <cell r="M1212">
            <v>25.289772000000003</v>
          </cell>
          <cell r="N1212">
            <v>1.95675</v>
          </cell>
          <cell r="O1212">
            <v>27.246522000000002</v>
          </cell>
          <cell r="P1212">
            <v>1.1963999999999999</v>
          </cell>
          <cell r="Q1212">
            <v>1.5331296002210881E-11</v>
          </cell>
          <cell r="R1212">
            <v>0.55000000000000004</v>
          </cell>
          <cell r="S1212">
            <v>0.16</v>
          </cell>
          <cell r="T1212">
            <v>0.71000000001533126</v>
          </cell>
          <cell r="U1212">
            <v>-3.1562310000033613</v>
          </cell>
          <cell r="V1212">
            <v>49.238257853635155</v>
          </cell>
        </row>
        <row r="1213">
          <cell r="D1213" t="str">
            <v>CHINA-Total - Salaries, Wage and Benefits, M$</v>
          </cell>
          <cell r="E1213">
            <v>2.3152457173913046</v>
          </cell>
          <cell r="F1213">
            <v>0.89636876908212582</v>
          </cell>
          <cell r="G1213">
            <v>3.2116144864734304</v>
          </cell>
          <cell r="H1213">
            <v>0.68610000000000004</v>
          </cell>
          <cell r="I1213">
            <v>0.28999999999999998</v>
          </cell>
          <cell r="J1213">
            <v>0.15787198067632854</v>
          </cell>
          <cell r="K1213">
            <v>0</v>
          </cell>
          <cell r="L1213">
            <v>0.4478719806763285</v>
          </cell>
          <cell r="M1213">
            <v>7.1689999999999996</v>
          </cell>
          <cell r="N1213">
            <v>1.51745</v>
          </cell>
          <cell r="O1213">
            <v>8.6864499999999989</v>
          </cell>
          <cell r="P1213">
            <v>0.84199999999999997</v>
          </cell>
          <cell r="Q1213">
            <v>8.9819625178477591E-12</v>
          </cell>
          <cell r="R1213">
            <v>0.312</v>
          </cell>
          <cell r="S1213">
            <v>0.05</v>
          </cell>
          <cell r="T1213">
            <v>0.36200000000898191</v>
          </cell>
          <cell r="U1213">
            <v>0.65900000000000003</v>
          </cell>
          <cell r="V1213">
            <v>14.895036467158743</v>
          </cell>
        </row>
        <row r="1214">
          <cell r="D1214" t="str">
            <v>CHINA-Total - XOM Employee SWB, M$</v>
          </cell>
          <cell r="E1214">
            <v>1.9503278429951691</v>
          </cell>
          <cell r="F1214">
            <v>0.89033012173913062</v>
          </cell>
          <cell r="G1214">
            <v>2.8406579647342998</v>
          </cell>
          <cell r="H1214">
            <v>0.65620000000000001</v>
          </cell>
          <cell r="I1214">
            <v>0.28999999999999998</v>
          </cell>
          <cell r="J1214">
            <v>0.12985265700483095</v>
          </cell>
          <cell r="K1214">
            <v>0</v>
          </cell>
          <cell r="L1214">
            <v>0.41985265700483093</v>
          </cell>
          <cell r="M1214">
            <v>7.0093999999999994</v>
          </cell>
          <cell r="N1214">
            <v>1.47045</v>
          </cell>
          <cell r="O1214">
            <v>8.479849999999999</v>
          </cell>
          <cell r="P1214">
            <v>0.83</v>
          </cell>
          <cell r="Q1214">
            <v>8.7183041269128932E-12</v>
          </cell>
          <cell r="R1214">
            <v>0.28499999999999998</v>
          </cell>
          <cell r="S1214">
            <v>3.6999999999999998E-2</v>
          </cell>
          <cell r="T1214">
            <v>0.32200000000871826</v>
          </cell>
          <cell r="U1214">
            <v>0.65900000000000003</v>
          </cell>
          <cell r="V1214">
            <v>14.207560621747851</v>
          </cell>
        </row>
        <row r="1215">
          <cell r="D1215" t="str">
            <v>CHINA-Total - Contract Employee SWB, M$</v>
          </cell>
          <cell r="E1215">
            <v>0.36491787439613527</v>
          </cell>
          <cell r="F1215">
            <v>6.0386473429951699E-3</v>
          </cell>
          <cell r="G1215">
            <v>0.37095652173913046</v>
          </cell>
          <cell r="H1215">
            <v>2.9899999999999999E-2</v>
          </cell>
          <cell r="I1215">
            <v>0</v>
          </cell>
          <cell r="J1215">
            <v>2.8019323671497585E-2</v>
          </cell>
          <cell r="K1215">
            <v>0</v>
          </cell>
          <cell r="L1215">
            <v>2.8019323671497585E-2</v>
          </cell>
          <cell r="M1215">
            <v>0.15959999999999999</v>
          </cell>
          <cell r="N1215">
            <v>4.7E-2</v>
          </cell>
          <cell r="O1215">
            <v>0.20660000000000001</v>
          </cell>
          <cell r="P1215">
            <v>1.2E-2</v>
          </cell>
          <cell r="Q1215">
            <v>2.6365839093486571E-13</v>
          </cell>
          <cell r="R1215">
            <v>2.7E-2</v>
          </cell>
          <cell r="S1215">
            <v>1.2999999999999999E-2</v>
          </cell>
          <cell r="T1215">
            <v>4.0000000000263658E-2</v>
          </cell>
          <cell r="U1215">
            <v>0</v>
          </cell>
          <cell r="V1215">
            <v>0.68747584541089179</v>
          </cell>
        </row>
        <row r="1216">
          <cell r="D1216" t="str">
            <v>CHINA-Total - Employee Expenses (T&amp;E), M$</v>
          </cell>
          <cell r="E1216">
            <v>0.14681550724637682</v>
          </cell>
          <cell r="F1216">
            <v>0.3765</v>
          </cell>
          <cell r="G1216">
            <v>0.52331550724637688</v>
          </cell>
          <cell r="H1216">
            <v>0.18260000000000001</v>
          </cell>
          <cell r="I1216">
            <v>0</v>
          </cell>
          <cell r="J1216">
            <v>0</v>
          </cell>
          <cell r="K1216">
            <v>0</v>
          </cell>
          <cell r="L1216">
            <v>0</v>
          </cell>
          <cell r="M1216">
            <v>3.0630000000000002</v>
          </cell>
          <cell r="N1216">
            <v>0.33199999999999996</v>
          </cell>
          <cell r="O1216">
            <v>3.395</v>
          </cell>
          <cell r="P1216">
            <v>0.224</v>
          </cell>
          <cell r="Q1216">
            <v>3.7263719252127687E-12</v>
          </cell>
          <cell r="R1216">
            <v>0.11</v>
          </cell>
          <cell r="S1216">
            <v>4.1000000000000002E-2</v>
          </cell>
          <cell r="T1216">
            <v>0.15100000000372638</v>
          </cell>
          <cell r="U1216">
            <v>0</v>
          </cell>
          <cell r="V1216">
            <v>4.4759155072501047</v>
          </cell>
        </row>
        <row r="1217">
          <cell r="D1217" t="str">
            <v>CHINA-Total - Training Expenses, M$</v>
          </cell>
          <cell r="E1217">
            <v>3.5514492753623186E-2</v>
          </cell>
          <cell r="F1217">
            <v>0.3765</v>
          </cell>
          <cell r="G1217">
            <v>0.41201449275362317</v>
          </cell>
          <cell r="H1217">
            <v>8.72E-2</v>
          </cell>
          <cell r="I1217">
            <v>0</v>
          </cell>
          <cell r="J1217">
            <v>0</v>
          </cell>
          <cell r="K1217">
            <v>0</v>
          </cell>
          <cell r="L1217">
            <v>0</v>
          </cell>
          <cell r="M1217">
            <v>0.53190000000000004</v>
          </cell>
          <cell r="N1217">
            <v>1.6E-2</v>
          </cell>
          <cell r="O1217">
            <v>0.54790000000000005</v>
          </cell>
          <cell r="P1217">
            <v>0.03</v>
          </cell>
          <cell r="Q1217">
            <v>6.6749515971676844E-13</v>
          </cell>
          <cell r="R1217">
            <v>2.5000000000000001E-2</v>
          </cell>
          <cell r="S1217">
            <v>5.0000000000000001E-3</v>
          </cell>
          <cell r="T1217">
            <v>3.0000000000667496E-2</v>
          </cell>
          <cell r="U1217">
            <v>0</v>
          </cell>
          <cell r="V1217">
            <v>1.1071144927542906</v>
          </cell>
        </row>
        <row r="1218">
          <cell r="D1218" t="str">
            <v>CHINA-Total - Consultancy/Professional Fees, M$</v>
          </cell>
          <cell r="E1218">
            <v>0</v>
          </cell>
          <cell r="F1218">
            <v>0</v>
          </cell>
          <cell r="G1218">
            <v>0</v>
          </cell>
          <cell r="H1218">
            <v>2.2800000000000001E-2</v>
          </cell>
          <cell r="I1218">
            <v>0</v>
          </cell>
          <cell r="J1218">
            <v>0</v>
          </cell>
          <cell r="K1218">
            <v>0</v>
          </cell>
          <cell r="L1218">
            <v>0</v>
          </cell>
          <cell r="M1218">
            <v>0.20340000000000003</v>
          </cell>
          <cell r="N1218">
            <v>1.0500000000000001E-2</v>
          </cell>
          <cell r="O1218">
            <v>0.21390000000000003</v>
          </cell>
          <cell r="P1218">
            <v>3.0000000000000001E-3</v>
          </cell>
          <cell r="Q1218">
            <v>1.977437932011493E-13</v>
          </cell>
          <cell r="R1218">
            <v>6.0000000000000001E-3</v>
          </cell>
          <cell r="S1218">
            <v>1.4E-2</v>
          </cell>
          <cell r="T1218">
            <v>2.0000000000197745E-2</v>
          </cell>
          <cell r="U1218">
            <v>0</v>
          </cell>
          <cell r="V1218">
            <v>0.25970000000019777</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6.0000000000000001E-3</v>
          </cell>
          <cell r="T1219">
            <v>2.6000000000000002E-2</v>
          </cell>
          <cell r="U1219">
            <v>0</v>
          </cell>
          <cell r="V1219">
            <v>10.426</v>
          </cell>
        </row>
        <row r="1220">
          <cell r="D1220" t="str">
            <v>CHINA-Maintenance and Repairs, M$</v>
          </cell>
          <cell r="E1220">
            <v>0.55149000000000004</v>
          </cell>
          <cell r="F1220">
            <v>0</v>
          </cell>
          <cell r="G1220">
            <v>0.55149000000000004</v>
          </cell>
          <cell r="H1220">
            <v>0</v>
          </cell>
          <cell r="I1220">
            <v>0</v>
          </cell>
          <cell r="J1220">
            <v>0</v>
          </cell>
          <cell r="K1220">
            <v>0</v>
          </cell>
          <cell r="L1220">
            <v>0</v>
          </cell>
          <cell r="M1220">
            <v>0.32400000000000001</v>
          </cell>
          <cell r="N1220">
            <v>0</v>
          </cell>
          <cell r="O1220">
            <v>0.32400000000000001</v>
          </cell>
          <cell r="P1220">
            <v>3.0000000000000001E-3</v>
          </cell>
          <cell r="Q1220">
            <v>0</v>
          </cell>
          <cell r="R1220">
            <v>0</v>
          </cell>
          <cell r="S1220">
            <v>0</v>
          </cell>
          <cell r="T1220">
            <v>0</v>
          </cell>
          <cell r="U1220">
            <v>0</v>
          </cell>
          <cell r="V1220">
            <v>0.8784900000000001</v>
          </cell>
        </row>
        <row r="1221">
          <cell r="D1221" t="str">
            <v>CHINA-Depreciation, M$</v>
          </cell>
          <cell r="E1221">
            <v>5.1696618357487916</v>
          </cell>
          <cell r="F1221">
            <v>0</v>
          </cell>
          <cell r="G1221">
            <v>5.1696618357487916</v>
          </cell>
          <cell r="H1221">
            <v>0</v>
          </cell>
          <cell r="I1221">
            <v>0</v>
          </cell>
          <cell r="J1221">
            <v>6.280193236714976E-2</v>
          </cell>
          <cell r="K1221">
            <v>0</v>
          </cell>
          <cell r="L1221">
            <v>6.280193236714976E-2</v>
          </cell>
          <cell r="M1221">
            <v>2.176272</v>
          </cell>
          <cell r="N1221">
            <v>0</v>
          </cell>
          <cell r="O1221">
            <v>2.176272</v>
          </cell>
          <cell r="P1221">
            <v>0</v>
          </cell>
          <cell r="Q1221">
            <v>0</v>
          </cell>
          <cell r="R1221">
            <v>0</v>
          </cell>
          <cell r="S1221">
            <v>0</v>
          </cell>
          <cell r="T1221">
            <v>0</v>
          </cell>
          <cell r="U1221">
            <v>0</v>
          </cell>
          <cell r="V1221">
            <v>7.4087357681159416</v>
          </cell>
        </row>
        <row r="1222">
          <cell r="D1222" t="str">
            <v>CHINA-Energy, M$</v>
          </cell>
          <cell r="E1222">
            <v>1.2882415458937198</v>
          </cell>
          <cell r="F1222">
            <v>0</v>
          </cell>
          <cell r="G1222">
            <v>1.2882415458937198</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1.2882415458937198</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7.3383623188405798</v>
          </cell>
          <cell r="G1224">
            <v>7.3383623188405798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7.3383623188405798</v>
          </cell>
        </row>
        <row r="1225">
          <cell r="D1225" t="str">
            <v>CHINA-Other Direct OPEX, M$</v>
          </cell>
          <cell r="E1225">
            <v>2.4836473429951691</v>
          </cell>
          <cell r="F1225">
            <v>7.6086956521739135E-2</v>
          </cell>
          <cell r="G1225">
            <v>2.5597342995169083</v>
          </cell>
          <cell r="H1225">
            <v>0.32300000000000001</v>
          </cell>
          <cell r="I1225">
            <v>0.22500000000000001</v>
          </cell>
          <cell r="J1225">
            <v>0.14975845410628019</v>
          </cell>
          <cell r="K1225">
            <v>0</v>
          </cell>
          <cell r="L1225">
            <v>0.37475845410628017</v>
          </cell>
          <cell r="M1225">
            <v>1.4221999999999999</v>
          </cell>
          <cell r="N1225">
            <v>8.0799999999999997E-2</v>
          </cell>
          <cell r="O1225">
            <v>1.5029999999999999</v>
          </cell>
          <cell r="P1225">
            <v>9.4399999999999998E-2</v>
          </cell>
          <cell r="Q1225">
            <v>1.7577226062324384E-12</v>
          </cell>
          <cell r="R1225">
            <v>7.6999999999999999E-2</v>
          </cell>
          <cell r="S1225">
            <v>4.3999999999999997E-2</v>
          </cell>
          <cell r="T1225">
            <v>0.12100000000175772</v>
          </cell>
          <cell r="U1225">
            <v>0.44979999999999998</v>
          </cell>
          <cell r="V1225">
            <v>5.4256927536249453</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-4.2650310000033613</v>
          </cell>
          <cell r="V1226">
            <v>-4.2650310000033613</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3.3000000000000006E-9</v>
          </cell>
          <cell r="G1230">
            <v>3.3000000000000006E-9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3.3999999704548145E-8</v>
          </cell>
          <cell r="V1230">
            <v>1.4580000372999997</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3.3000000000000006E-9</v>
          </cell>
          <cell r="G1242">
            <v>3.3000000000000006E-9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3.3000000000000006E-9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3.3999999704548145E-8</v>
          </cell>
          <cell r="V1244">
            <v>3.3999999704548145E-8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-3.4694469519536142E-18</v>
          </cell>
          <cell r="F1248">
            <v>3.7275410385259633</v>
          </cell>
          <cell r="G1248">
            <v>3.7275410385259633</v>
          </cell>
          <cell r="H1248">
            <v>0.17099999999999999</v>
          </cell>
          <cell r="I1248">
            <v>0</v>
          </cell>
          <cell r="J1248">
            <v>3.9154103852596316E-2</v>
          </cell>
          <cell r="K1248">
            <v>0</v>
          </cell>
          <cell r="L1248">
            <v>3.9154103852596316E-2</v>
          </cell>
          <cell r="M1248">
            <v>4.5289999999999999</v>
          </cell>
          <cell r="N1248">
            <v>0.17499999999999999</v>
          </cell>
          <cell r="O1248">
            <v>4.7040000000000006</v>
          </cell>
          <cell r="P1248">
            <v>0.18099999999999999</v>
          </cell>
          <cell r="Q1248">
            <v>0</v>
          </cell>
          <cell r="R1248">
            <v>3.3000000000000002E-2</v>
          </cell>
          <cell r="S1248">
            <v>0</v>
          </cell>
          <cell r="T1248">
            <v>3.3000000000000002E-2</v>
          </cell>
          <cell r="U1248">
            <v>1.2539598576214355</v>
          </cell>
          <cell r="V1248">
            <v>10.109654999999997</v>
          </cell>
        </row>
        <row r="1249">
          <cell r="D1249" t="str">
            <v>INDIA-Total - Salaries, Wage and Benefits, M$</v>
          </cell>
          <cell r="E1249">
            <v>0</v>
          </cell>
          <cell r="F1249">
            <v>0.27317839195979904</v>
          </cell>
          <cell r="G1249">
            <v>0.27317839195979904</v>
          </cell>
          <cell r="H1249">
            <v>0.127</v>
          </cell>
          <cell r="I1249">
            <v>0</v>
          </cell>
          <cell r="J1249">
            <v>3.1825795644891124E-2</v>
          </cell>
          <cell r="K1249">
            <v>0</v>
          </cell>
          <cell r="L1249">
            <v>3.1825795644891124E-2</v>
          </cell>
          <cell r="M1249">
            <v>1.387</v>
          </cell>
          <cell r="N1249">
            <v>8.4000000000000005E-2</v>
          </cell>
          <cell r="O1249">
            <v>1.4710000000000001</v>
          </cell>
          <cell r="P1249">
            <v>0.13100000000000001</v>
          </cell>
          <cell r="Q1249">
            <v>0</v>
          </cell>
          <cell r="R1249">
            <v>2.3E-2</v>
          </cell>
          <cell r="S1249">
            <v>0</v>
          </cell>
          <cell r="T1249">
            <v>2.3E-2</v>
          </cell>
          <cell r="U1249">
            <v>0.52300000000000002</v>
          </cell>
          <cell r="V1249">
            <v>2.5800041876046906</v>
          </cell>
        </row>
        <row r="1250">
          <cell r="D1250" t="str">
            <v>INDIA-Total - XOM Employee SWB, M$</v>
          </cell>
          <cell r="E1250">
            <v>0</v>
          </cell>
          <cell r="F1250">
            <v>0.26061557788944728</v>
          </cell>
          <cell r="G1250">
            <v>0.26061557788944728</v>
          </cell>
          <cell r="H1250">
            <v>0.115</v>
          </cell>
          <cell r="I1250">
            <v>0</v>
          </cell>
          <cell r="J1250">
            <v>3.1825795644891124E-2</v>
          </cell>
          <cell r="K1250">
            <v>0</v>
          </cell>
          <cell r="L1250">
            <v>3.1825795644891124E-2</v>
          </cell>
          <cell r="M1250">
            <v>1.3780000000000001</v>
          </cell>
          <cell r="N1250">
            <v>8.2000000000000003E-2</v>
          </cell>
          <cell r="O1250">
            <v>1.46</v>
          </cell>
          <cell r="P1250">
            <v>0.13100000000000001</v>
          </cell>
          <cell r="Q1250">
            <v>0</v>
          </cell>
          <cell r="R1250">
            <v>2.3E-2</v>
          </cell>
          <cell r="S1250">
            <v>0</v>
          </cell>
          <cell r="T1250">
            <v>2.3E-2</v>
          </cell>
          <cell r="U1250">
            <v>0.52300000000000002</v>
          </cell>
          <cell r="V1250">
            <v>2.544441373534339</v>
          </cell>
        </row>
        <row r="1251">
          <cell r="D1251" t="str">
            <v>INDIA-Total - Contract Employee SWB, M$</v>
          </cell>
          <cell r="E1251">
            <v>0</v>
          </cell>
          <cell r="F1251">
            <v>1.2562814070351759E-2</v>
          </cell>
          <cell r="G1251">
            <v>1.2562814070351759E-2</v>
          </cell>
          <cell r="H1251">
            <v>1.2E-2</v>
          </cell>
          <cell r="I1251">
            <v>0</v>
          </cell>
          <cell r="J1251">
            <v>0</v>
          </cell>
          <cell r="K1251">
            <v>0</v>
          </cell>
          <cell r="L1251">
            <v>0</v>
          </cell>
          <cell r="M1251">
            <v>9.0000000000000011E-3</v>
          </cell>
          <cell r="N1251">
            <v>2E-3</v>
          </cell>
          <cell r="O1251">
            <v>1.1000000000000001E-2</v>
          </cell>
          <cell r="P1251">
            <v>0</v>
          </cell>
          <cell r="Q1251">
            <v>0</v>
          </cell>
          <cell r="R1251">
            <v>0</v>
          </cell>
          <cell r="S1251">
            <v>0</v>
          </cell>
          <cell r="T1251">
            <v>0</v>
          </cell>
          <cell r="U1251">
            <v>0</v>
          </cell>
          <cell r="V1251">
            <v>3.5562814070351764E-2</v>
          </cell>
        </row>
        <row r="1252">
          <cell r="D1252" t="str">
            <v>INDIA-Total - Employee Expenses (T&amp;E), M$</v>
          </cell>
          <cell r="E1252">
            <v>2.8203517587939698E-2</v>
          </cell>
          <cell r="F1252">
            <v>3.6400753768844218E-2</v>
          </cell>
          <cell r="G1252">
            <v>6.4604271356783913E-2</v>
          </cell>
          <cell r="H1252">
            <v>2.8000000000000001E-2</v>
          </cell>
          <cell r="I1252">
            <v>0</v>
          </cell>
          <cell r="J1252">
            <v>0</v>
          </cell>
          <cell r="K1252">
            <v>0</v>
          </cell>
          <cell r="L1252">
            <v>0</v>
          </cell>
          <cell r="M1252">
            <v>0.58100000000000007</v>
          </cell>
          <cell r="N1252">
            <v>4.4999999999999998E-2</v>
          </cell>
          <cell r="O1252">
            <v>0.62600000000000011</v>
          </cell>
          <cell r="P1252">
            <v>4.5999999999999999E-2</v>
          </cell>
          <cell r="Q1252">
            <v>0</v>
          </cell>
          <cell r="R1252">
            <v>8.9999999999999993E-3</v>
          </cell>
          <cell r="S1252">
            <v>0</v>
          </cell>
          <cell r="T1252">
            <v>8.9999999999999993E-3</v>
          </cell>
          <cell r="U1252">
            <v>6.2E-2</v>
          </cell>
          <cell r="V1252">
            <v>0.83560427135678417</v>
          </cell>
        </row>
        <row r="1253">
          <cell r="D1253" t="str">
            <v>INDIA-Total - Training Expenses, M$</v>
          </cell>
          <cell r="E1253">
            <v>2.9941373534338356E-3</v>
          </cell>
          <cell r="F1253">
            <v>3.6400753768844218E-2</v>
          </cell>
          <cell r="G1253">
            <v>3.9394891122278057E-2</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2.1000000000000001E-2</v>
          </cell>
          <cell r="V1253">
            <v>0.10039489112227806</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1E-3</v>
          </cell>
          <cell r="O1254">
            <v>1E-3</v>
          </cell>
          <cell r="P1254">
            <v>0</v>
          </cell>
          <cell r="Q1254">
            <v>0</v>
          </cell>
          <cell r="R1254">
            <v>0</v>
          </cell>
          <cell r="S1254">
            <v>0</v>
          </cell>
          <cell r="T1254">
            <v>0</v>
          </cell>
          <cell r="U1254">
            <v>0.16300000000000001</v>
          </cell>
          <cell r="V1254">
            <v>0.16400000000000001</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1.3131984924623112</v>
          </cell>
          <cell r="G1260">
            <v>1.3131984924623112</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1.3131984924623112</v>
          </cell>
        </row>
        <row r="1261">
          <cell r="D1261" t="str">
            <v>INDIA-Other Direct OPEX, M$</v>
          </cell>
          <cell r="E1261">
            <v>-3.1197654941373536E-2</v>
          </cell>
          <cell r="F1261">
            <v>2.0683626465661646</v>
          </cell>
          <cell r="G1261">
            <v>2.0371649916247909</v>
          </cell>
          <cell r="H1261">
            <v>1.6E-2</v>
          </cell>
          <cell r="I1261">
            <v>0</v>
          </cell>
          <cell r="J1261">
            <v>7.3283082077051928E-3</v>
          </cell>
          <cell r="K1261">
            <v>0</v>
          </cell>
          <cell r="L1261">
            <v>7.3283082077051928E-3</v>
          </cell>
          <cell r="M1261">
            <v>1.125</v>
          </cell>
          <cell r="N1261">
            <v>4.4999999999999998E-2</v>
          </cell>
          <cell r="O1261">
            <v>1.17</v>
          </cell>
          <cell r="P1261">
            <v>4.0000000000000001E-3</v>
          </cell>
          <cell r="Q1261">
            <v>0</v>
          </cell>
          <cell r="R1261">
            <v>1E-3</v>
          </cell>
          <cell r="S1261">
            <v>0</v>
          </cell>
          <cell r="T1261">
            <v>1E-3</v>
          </cell>
          <cell r="U1261">
            <v>0.72499999999999998</v>
          </cell>
          <cell r="V1261">
            <v>3.9604932998324962</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-0.24004014237856452</v>
          </cell>
          <cell r="V1262">
            <v>-0.24004014237856452</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1.5511661028571426</v>
          </cell>
          <cell r="F1266">
            <v>0.17016575635914449</v>
          </cell>
          <cell r="G1266">
            <v>1.721331859216287</v>
          </cell>
          <cell r="H1266">
            <v>3.8919999999999996E-2</v>
          </cell>
          <cell r="I1266">
            <v>0</v>
          </cell>
          <cell r="J1266">
            <v>0.12554605714285716</v>
          </cell>
          <cell r="K1266">
            <v>0</v>
          </cell>
          <cell r="L1266">
            <v>0.12554605714285716</v>
          </cell>
          <cell r="M1266">
            <v>3.8263199999999999</v>
          </cell>
          <cell r="N1266">
            <v>6.0100000000000001E-2</v>
          </cell>
          <cell r="O1266">
            <v>3.8864199999999998</v>
          </cell>
          <cell r="P1266">
            <v>0.137355</v>
          </cell>
          <cell r="Q1266">
            <v>0</v>
          </cell>
          <cell r="R1266">
            <v>6.1000000000000006E-2</v>
          </cell>
          <cell r="S1266">
            <v>0</v>
          </cell>
          <cell r="T1266">
            <v>6.1000000000000006E-2</v>
          </cell>
          <cell r="U1266">
            <v>0.97190600000000027</v>
          </cell>
          <cell r="V1266">
            <v>6.9424789163591436</v>
          </cell>
        </row>
        <row r="1267">
          <cell r="D1267" t="str">
            <v>INDONESIA-Total - Salaries, Wage and Benefits, M$</v>
          </cell>
          <cell r="E1267">
            <v>0.63740159999999979</v>
          </cell>
          <cell r="F1267">
            <v>0.14936301714285716</v>
          </cell>
          <cell r="G1267">
            <v>0.78676461714285695</v>
          </cell>
          <cell r="H1267">
            <v>1.9879999999999998E-2</v>
          </cell>
          <cell r="I1267">
            <v>0</v>
          </cell>
          <cell r="J1267">
            <v>9.5564708571428583E-2</v>
          </cell>
          <cell r="K1267">
            <v>0</v>
          </cell>
          <cell r="L1267">
            <v>9.5564708571428583E-2</v>
          </cell>
          <cell r="M1267">
            <v>0.94</v>
          </cell>
          <cell r="N1267">
            <v>2.9000000000000001E-2</v>
          </cell>
          <cell r="O1267">
            <v>0.96900000000000008</v>
          </cell>
          <cell r="P1267">
            <v>1.9E-2</v>
          </cell>
          <cell r="Q1267">
            <v>0</v>
          </cell>
          <cell r="R1267">
            <v>5.5E-2</v>
          </cell>
          <cell r="S1267">
            <v>0</v>
          </cell>
          <cell r="T1267">
            <v>5.5E-2</v>
          </cell>
          <cell r="U1267">
            <v>0.54500000000000004</v>
          </cell>
          <cell r="V1267">
            <v>2.4902093257142854</v>
          </cell>
        </row>
        <row r="1268">
          <cell r="D1268" t="str">
            <v>INDONESIA-Total - XOM Employee SWB, M$</v>
          </cell>
          <cell r="E1268">
            <v>0.44187428571428555</v>
          </cell>
          <cell r="F1268">
            <v>0.14066276571428574</v>
          </cell>
          <cell r="G1268">
            <v>0.58253705142857126</v>
          </cell>
          <cell r="H1268">
            <v>1.3631999999999998E-2</v>
          </cell>
          <cell r="I1268">
            <v>0</v>
          </cell>
          <cell r="J1268">
            <v>8.1097142857142868E-2</v>
          </cell>
          <cell r="K1268">
            <v>0</v>
          </cell>
          <cell r="L1268">
            <v>8.1097142857142868E-2</v>
          </cell>
          <cell r="M1268">
            <v>0.93</v>
          </cell>
          <cell r="N1268">
            <v>2.9000000000000001E-2</v>
          </cell>
          <cell r="O1268">
            <v>0.95900000000000007</v>
          </cell>
          <cell r="P1268">
            <v>1.9E-2</v>
          </cell>
          <cell r="Q1268">
            <v>0</v>
          </cell>
          <cell r="R1268">
            <v>5.5E-2</v>
          </cell>
          <cell r="S1268">
            <v>0</v>
          </cell>
          <cell r="T1268">
            <v>5.5E-2</v>
          </cell>
          <cell r="U1268">
            <v>0.54100000000000004</v>
          </cell>
          <cell r="V1268">
            <v>2.251266194285714</v>
          </cell>
        </row>
        <row r="1269">
          <cell r="D1269" t="str">
            <v>INDONESIA-Total - Contract Employee SWB, M$</v>
          </cell>
          <cell r="E1269">
            <v>0.19552731428571427</v>
          </cell>
          <cell r="F1269">
            <v>8.7002514285714292E-3</v>
          </cell>
          <cell r="G1269">
            <v>0.20422756571428569</v>
          </cell>
          <cell r="H1269">
            <v>6.2479999999999992E-3</v>
          </cell>
          <cell r="I1269">
            <v>0</v>
          </cell>
          <cell r="J1269">
            <v>1.4467565714285714E-2</v>
          </cell>
          <cell r="K1269">
            <v>0</v>
          </cell>
          <cell r="L1269">
            <v>1.4467565714285714E-2</v>
          </cell>
          <cell r="M1269">
            <v>0.01</v>
          </cell>
          <cell r="N1269">
            <v>0</v>
          </cell>
          <cell r="O1269">
            <v>0.01</v>
          </cell>
          <cell r="P1269">
            <v>0</v>
          </cell>
          <cell r="Q1269">
            <v>0</v>
          </cell>
          <cell r="R1269">
            <v>0</v>
          </cell>
          <cell r="S1269">
            <v>0</v>
          </cell>
          <cell r="T1269">
            <v>0</v>
          </cell>
          <cell r="U1269">
            <v>4.0000000000000001E-3</v>
          </cell>
          <cell r="V1269">
            <v>0.2389431314285714</v>
          </cell>
        </row>
        <row r="1270">
          <cell r="D1270" t="str">
            <v>INDONESIA-Total - Employee Expenses (T&amp;E), M$</v>
          </cell>
          <cell r="E1270">
            <v>1.9665554285714287E-2</v>
          </cell>
          <cell r="F1270">
            <v>0</v>
          </cell>
          <cell r="G1270">
            <v>1.9665554285714287E-2</v>
          </cell>
          <cell r="H1270">
            <v>5.6799999999999993E-4</v>
          </cell>
          <cell r="I1270">
            <v>0</v>
          </cell>
          <cell r="J1270">
            <v>0</v>
          </cell>
          <cell r="K1270">
            <v>0</v>
          </cell>
          <cell r="L1270">
            <v>0</v>
          </cell>
          <cell r="M1270">
            <v>0.51961999999999997</v>
          </cell>
          <cell r="N1270">
            <v>1.66E-2</v>
          </cell>
          <cell r="O1270">
            <v>0.53621999999999992</v>
          </cell>
          <cell r="P1270">
            <v>9.0355000000000005E-2</v>
          </cell>
          <cell r="Q1270">
            <v>0</v>
          </cell>
          <cell r="R1270">
            <v>0</v>
          </cell>
          <cell r="S1270">
            <v>0</v>
          </cell>
          <cell r="T1270">
            <v>0</v>
          </cell>
          <cell r="U1270">
            <v>0.18019499999999999</v>
          </cell>
          <cell r="V1270">
            <v>0.82700355428571415</v>
          </cell>
        </row>
        <row r="1271">
          <cell r="D1271" t="str">
            <v>INDONESIA-Total - Training Expenses, M$</v>
          </cell>
          <cell r="E1271">
            <v>0</v>
          </cell>
          <cell r="F1271">
            <v>0</v>
          </cell>
          <cell r="G1271">
            <v>0</v>
          </cell>
          <cell r="H1271">
            <v>2.2719999999999997E-3</v>
          </cell>
          <cell r="I1271">
            <v>0</v>
          </cell>
          <cell r="J1271">
            <v>0</v>
          </cell>
          <cell r="K1271">
            <v>0</v>
          </cell>
          <cell r="L1271">
            <v>0</v>
          </cell>
          <cell r="M1271">
            <v>0.18720000000000001</v>
          </cell>
          <cell r="N1271">
            <v>1.4E-3</v>
          </cell>
          <cell r="O1271">
            <v>0.18860000000000002</v>
          </cell>
          <cell r="P1271">
            <v>4.4999999999999997E-3</v>
          </cell>
          <cell r="Q1271">
            <v>0</v>
          </cell>
          <cell r="R1271">
            <v>3.0000000000000001E-3</v>
          </cell>
          <cell r="S1271">
            <v>0</v>
          </cell>
          <cell r="T1271">
            <v>3.0000000000000001E-3</v>
          </cell>
          <cell r="U1271">
            <v>4.0500000000000001E-2</v>
          </cell>
          <cell r="V1271">
            <v>0.23887200000000003</v>
          </cell>
        </row>
        <row r="1272">
          <cell r="D1272" t="str">
            <v>INDONESIA-Total - Consultancy/Professional Fees, M$</v>
          </cell>
          <cell r="E1272">
            <v>0</v>
          </cell>
          <cell r="F1272">
            <v>0</v>
          </cell>
          <cell r="G1272">
            <v>0</v>
          </cell>
          <cell r="H1272">
            <v>0</v>
          </cell>
          <cell r="I1272">
            <v>0</v>
          </cell>
          <cell r="J1272">
            <v>0</v>
          </cell>
          <cell r="K1272">
            <v>0</v>
          </cell>
          <cell r="L1272">
            <v>0</v>
          </cell>
          <cell r="M1272">
            <v>9.0000000000000011E-3</v>
          </cell>
          <cell r="N1272">
            <v>1.1000000000000001E-3</v>
          </cell>
          <cell r="O1272">
            <v>1.0100000000000001E-2</v>
          </cell>
          <cell r="P1272">
            <v>1E-3</v>
          </cell>
          <cell r="Q1272">
            <v>0</v>
          </cell>
          <cell r="R1272">
            <v>3.0000000000000001E-3</v>
          </cell>
          <cell r="S1272">
            <v>0</v>
          </cell>
          <cell r="T1272">
            <v>3.0000000000000001E-3</v>
          </cell>
          <cell r="U1272">
            <v>1.9E-2</v>
          </cell>
          <cell r="V1272">
            <v>3.3100000000000004E-2</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0.12878399999999998</v>
          </cell>
          <cell r="F1274">
            <v>0</v>
          </cell>
          <cell r="G1274">
            <v>0.12878399999999998</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0.12878399999999998</v>
          </cell>
        </row>
        <row r="1275">
          <cell r="D1275" t="str">
            <v>INDONESIA-Depreciation, M$</v>
          </cell>
          <cell r="E1275">
            <v>0.35839024000000003</v>
          </cell>
          <cell r="F1275">
            <v>0</v>
          </cell>
          <cell r="G1275">
            <v>0.35839024000000003</v>
          </cell>
          <cell r="H1275">
            <v>0</v>
          </cell>
          <cell r="I1275">
            <v>0</v>
          </cell>
          <cell r="J1275">
            <v>0</v>
          </cell>
          <cell r="K1275">
            <v>0</v>
          </cell>
          <cell r="L1275">
            <v>0</v>
          </cell>
          <cell r="M1275">
            <v>6.0000000000000001E-3</v>
          </cell>
          <cell r="N1275">
            <v>0</v>
          </cell>
          <cell r="O1275">
            <v>6.0000000000000001E-3</v>
          </cell>
          <cell r="P1275">
            <v>0</v>
          </cell>
          <cell r="Q1275">
            <v>0</v>
          </cell>
          <cell r="R1275">
            <v>0</v>
          </cell>
          <cell r="S1275">
            <v>0</v>
          </cell>
          <cell r="T1275">
            <v>0</v>
          </cell>
          <cell r="U1275">
            <v>0.02</v>
          </cell>
          <cell r="V1275">
            <v>0.38439024000000005</v>
          </cell>
        </row>
        <row r="1276">
          <cell r="D1276" t="str">
            <v>INDONESIA-Energy, M$</v>
          </cell>
          <cell r="E1276">
            <v>6.8036022857142858E-2</v>
          </cell>
          <cell r="F1276">
            <v>0</v>
          </cell>
          <cell r="G1276">
            <v>6.8036022857142858E-2</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6.8036022857142858E-2</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1.8349895808416384E-2</v>
          </cell>
          <cell r="G1278">
            <v>1.8349895808416384E-2</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1.8349895808416384E-2</v>
          </cell>
        </row>
        <row r="1279">
          <cell r="D1279" t="str">
            <v>INDONESIA-Other Direct OPEX, M$</v>
          </cell>
          <cell r="E1279">
            <v>0.33888868571428565</v>
          </cell>
          <cell r="F1279">
            <v>2.4528434078709303E-3</v>
          </cell>
          <cell r="G1279">
            <v>0.3413415291221566</v>
          </cell>
          <cell r="H1279">
            <v>1.6199999999999999E-2</v>
          </cell>
          <cell r="I1279">
            <v>0</v>
          </cell>
          <cell r="J1279">
            <v>2.9981348571428576E-2</v>
          </cell>
          <cell r="K1279">
            <v>0</v>
          </cell>
          <cell r="L1279">
            <v>2.9981348571428576E-2</v>
          </cell>
          <cell r="M1279">
            <v>0.66449999999999998</v>
          </cell>
          <cell r="N1279">
            <v>1.2E-2</v>
          </cell>
          <cell r="O1279">
            <v>0.67649999999999999</v>
          </cell>
          <cell r="P1279">
            <v>2.2499999999999999E-2</v>
          </cell>
          <cell r="Q1279">
            <v>0</v>
          </cell>
          <cell r="R1279">
            <v>0</v>
          </cell>
          <cell r="S1279">
            <v>0</v>
          </cell>
          <cell r="T1279">
            <v>0</v>
          </cell>
          <cell r="U1279">
            <v>3.2500000000000001E-2</v>
          </cell>
          <cell r="V1279">
            <v>1.1190228776935851</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0.13471100000000025</v>
          </cell>
          <cell r="V1280">
            <v>0.13471100000000025</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29.624093852563561</v>
          </cell>
          <cell r="F1284">
            <v>29.373788033126431</v>
          </cell>
          <cell r="G1284">
            <v>58.997881885689992</v>
          </cell>
          <cell r="H1284">
            <v>4.5760000000000005</v>
          </cell>
          <cell r="I1284">
            <v>0.35900000000000004</v>
          </cell>
          <cell r="J1284">
            <v>4.0712609471983674</v>
          </cell>
          <cell r="K1284">
            <v>0</v>
          </cell>
          <cell r="L1284">
            <v>4.4302609471983674</v>
          </cell>
          <cell r="M1284">
            <v>25.869888</v>
          </cell>
          <cell r="N1284">
            <v>2.1719999999999997</v>
          </cell>
          <cell r="O1284">
            <v>28.041888</v>
          </cell>
          <cell r="P1284">
            <v>0.78900000000000003</v>
          </cell>
          <cell r="Q1284">
            <v>0.196272</v>
          </cell>
          <cell r="R1284">
            <v>1.0858399999999997</v>
          </cell>
          <cell r="S1284">
            <v>0</v>
          </cell>
          <cell r="T1284">
            <v>1.2821119999999999</v>
          </cell>
          <cell r="U1284">
            <v>-3.3021931099999966</v>
          </cell>
          <cell r="V1284">
            <v>94.814949722888358</v>
          </cell>
        </row>
        <row r="1285">
          <cell r="D1285" t="str">
            <v>JAPAN-Total - Salaries, Wage and Benefits, M$</v>
          </cell>
          <cell r="E1285">
            <v>13.968187245982485</v>
          </cell>
          <cell r="F1285">
            <v>3.0592636935634725</v>
          </cell>
          <cell r="G1285">
            <v>17.027450939545957</v>
          </cell>
          <cell r="H1285">
            <v>2.4209999999999998</v>
          </cell>
          <cell r="I1285">
            <v>0.13200000000000001</v>
          </cell>
          <cell r="J1285">
            <v>3.465190034860981</v>
          </cell>
          <cell r="K1285">
            <v>0</v>
          </cell>
          <cell r="L1285">
            <v>3.5971900348609811</v>
          </cell>
          <cell r="M1285">
            <v>10.273592000000001</v>
          </cell>
          <cell r="N1285">
            <v>1.54</v>
          </cell>
          <cell r="O1285">
            <v>11.813592</v>
          </cell>
          <cell r="P1285">
            <v>0.72799999999999998</v>
          </cell>
          <cell r="Q1285">
            <v>0.15559799999999999</v>
          </cell>
          <cell r="R1285">
            <v>0.84880999999999995</v>
          </cell>
          <cell r="S1285">
            <v>0</v>
          </cell>
          <cell r="T1285">
            <v>1.004408</v>
          </cell>
          <cell r="U1285">
            <v>0.33100000000000002</v>
          </cell>
          <cell r="V1285">
            <v>36.922640974406939</v>
          </cell>
        </row>
        <row r="1286">
          <cell r="D1286" t="str">
            <v>JAPAN-Total - XOM Employee SWB, M$</v>
          </cell>
          <cell r="E1286">
            <v>4.9351293002295726</v>
          </cell>
          <cell r="F1286">
            <v>2.7999320040812856</v>
          </cell>
          <cell r="G1286">
            <v>7.7350613043108583</v>
          </cell>
          <cell r="H1286">
            <v>1.9019999999999999</v>
          </cell>
          <cell r="I1286">
            <v>0.13200000000000001</v>
          </cell>
          <cell r="J1286">
            <v>2.5327013009097863</v>
          </cell>
          <cell r="K1286">
            <v>0</v>
          </cell>
          <cell r="L1286">
            <v>2.6647013009097864</v>
          </cell>
          <cell r="M1286">
            <v>9.0513919999999999</v>
          </cell>
          <cell r="N1286">
            <v>1.5009999999999999</v>
          </cell>
          <cell r="O1286">
            <v>10.552391999999999</v>
          </cell>
          <cell r="P1286">
            <v>0.72799999999999998</v>
          </cell>
          <cell r="Q1286">
            <v>0.15229799999999999</v>
          </cell>
          <cell r="R1286">
            <v>0.83531</v>
          </cell>
          <cell r="S1286">
            <v>0</v>
          </cell>
          <cell r="T1286">
            <v>0.98760800000000004</v>
          </cell>
          <cell r="U1286">
            <v>0.33100000000000002</v>
          </cell>
          <cell r="V1286">
            <v>24.900762605220645</v>
          </cell>
        </row>
        <row r="1287">
          <cell r="D1287" t="str">
            <v>JAPAN-Total - Contract Employee SWB, M$</v>
          </cell>
          <cell r="E1287">
            <v>9.0330579457529119</v>
          </cell>
          <cell r="F1287">
            <v>0.25933168948218688</v>
          </cell>
          <cell r="G1287">
            <v>9.2923896352350983</v>
          </cell>
          <cell r="H1287">
            <v>0.51900000000000002</v>
          </cell>
          <cell r="I1287">
            <v>0</v>
          </cell>
          <cell r="J1287">
            <v>0.93248873395119469</v>
          </cell>
          <cell r="K1287">
            <v>0</v>
          </cell>
          <cell r="L1287">
            <v>0.93248873395119469</v>
          </cell>
          <cell r="M1287">
            <v>1.2222</v>
          </cell>
          <cell r="N1287">
            <v>3.9E-2</v>
          </cell>
          <cell r="O1287">
            <v>1.2611999999999999</v>
          </cell>
          <cell r="P1287">
            <v>0</v>
          </cell>
          <cell r="Q1287">
            <v>3.2999999999999995E-3</v>
          </cell>
          <cell r="R1287">
            <v>1.3499999999999998E-2</v>
          </cell>
          <cell r="S1287">
            <v>0</v>
          </cell>
          <cell r="T1287">
            <v>1.6799999999999999E-2</v>
          </cell>
          <cell r="U1287">
            <v>0</v>
          </cell>
          <cell r="V1287">
            <v>12.021878369186291</v>
          </cell>
        </row>
        <row r="1288">
          <cell r="D1288" t="str">
            <v>JAPAN-Total - Employee Expenses (T&amp;E), M$</v>
          </cell>
          <cell r="E1288">
            <v>4.1957954255590513E-2</v>
          </cell>
          <cell r="F1288">
            <v>0.41191225235949325</v>
          </cell>
          <cell r="G1288">
            <v>0.45387020661508376</v>
          </cell>
          <cell r="H1288">
            <v>3.9E-2</v>
          </cell>
          <cell r="I1288">
            <v>6.0000000000000001E-3</v>
          </cell>
          <cell r="J1288">
            <v>0</v>
          </cell>
          <cell r="K1288">
            <v>0</v>
          </cell>
          <cell r="L1288">
            <v>6.0000000000000001E-3</v>
          </cell>
          <cell r="M1288">
            <v>1.4636639999999999</v>
          </cell>
          <cell r="N1288">
            <v>0.29099999999999998</v>
          </cell>
          <cell r="O1288">
            <v>1.7546639999999998</v>
          </cell>
          <cell r="P1288">
            <v>5.3999999999999999E-2</v>
          </cell>
          <cell r="Q1288">
            <v>3.2815999999999998E-2</v>
          </cell>
          <cell r="R1288">
            <v>0.14452000000000001</v>
          </cell>
          <cell r="S1288">
            <v>0</v>
          </cell>
          <cell r="T1288">
            <v>0.17733599999999999</v>
          </cell>
          <cell r="U1288">
            <v>0.10100000000000001</v>
          </cell>
          <cell r="V1288">
            <v>2.5858702066150832</v>
          </cell>
        </row>
        <row r="1289">
          <cell r="D1289" t="str">
            <v>JAPAN-Total - Training Expenses, M$</v>
          </cell>
          <cell r="E1289">
            <v>6.9977042768472062E-3</v>
          </cell>
          <cell r="F1289">
            <v>0.41191225235949325</v>
          </cell>
          <cell r="G1289">
            <v>0.41890995663634045</v>
          </cell>
          <cell r="H1289">
            <v>3.0000000000000001E-3</v>
          </cell>
          <cell r="I1289">
            <v>1E-3</v>
          </cell>
          <cell r="J1289">
            <v>0</v>
          </cell>
          <cell r="K1289">
            <v>0</v>
          </cell>
          <cell r="L1289">
            <v>1E-3</v>
          </cell>
          <cell r="M1289">
            <v>2.1991999999999998E-2</v>
          </cell>
          <cell r="N1289">
            <v>6.0000000000000001E-3</v>
          </cell>
          <cell r="O1289">
            <v>2.7991999999999996E-2</v>
          </cell>
          <cell r="P1289">
            <v>6.0000000000000001E-3</v>
          </cell>
          <cell r="Q1289">
            <v>2.1979999999999999E-3</v>
          </cell>
          <cell r="R1289">
            <v>1.5809999999999998E-2</v>
          </cell>
          <cell r="S1289">
            <v>0</v>
          </cell>
          <cell r="T1289">
            <v>1.8007999999999996E-2</v>
          </cell>
          <cell r="U1289">
            <v>0</v>
          </cell>
          <cell r="V1289">
            <v>0.47490995663634045</v>
          </cell>
        </row>
        <row r="1290">
          <cell r="D1290" t="str">
            <v>JAPAN-Total - Consultancy/Professional Fees, M$</v>
          </cell>
          <cell r="E1290">
            <v>0</v>
          </cell>
          <cell r="F1290">
            <v>0</v>
          </cell>
          <cell r="G1290">
            <v>0</v>
          </cell>
          <cell r="H1290">
            <v>8.0000000000000002E-3</v>
          </cell>
          <cell r="I1290">
            <v>1.0999999999999999E-2</v>
          </cell>
          <cell r="J1290">
            <v>0</v>
          </cell>
          <cell r="K1290">
            <v>0</v>
          </cell>
          <cell r="L1290">
            <v>1.0999999999999999E-2</v>
          </cell>
          <cell r="M1290">
            <v>0.33610399999999996</v>
          </cell>
          <cell r="N1290">
            <v>0</v>
          </cell>
          <cell r="O1290">
            <v>0.33610399999999996</v>
          </cell>
          <cell r="P1290">
            <v>0</v>
          </cell>
          <cell r="Q1290">
            <v>3.176E-3</v>
          </cell>
          <cell r="R1290">
            <v>3.3720000000000007E-2</v>
          </cell>
          <cell r="S1290">
            <v>0</v>
          </cell>
          <cell r="T1290">
            <v>3.6896000000000005E-2</v>
          </cell>
          <cell r="U1290">
            <v>1E-3</v>
          </cell>
          <cell r="V1290">
            <v>0.39300000000000002</v>
          </cell>
        </row>
        <row r="1291">
          <cell r="D1291" t="str">
            <v>JAPAN-Advertising and Promotions, M$</v>
          </cell>
          <cell r="E1291">
            <v>0</v>
          </cell>
          <cell r="F1291">
            <v>0</v>
          </cell>
          <cell r="G1291">
            <v>0</v>
          </cell>
          <cell r="H1291">
            <v>0</v>
          </cell>
          <cell r="I1291">
            <v>0</v>
          </cell>
          <cell r="J1291">
            <v>0</v>
          </cell>
          <cell r="K1291">
            <v>0</v>
          </cell>
          <cell r="L1291">
            <v>0</v>
          </cell>
          <cell r="M1291">
            <v>5.2240000000000002</v>
          </cell>
          <cell r="N1291">
            <v>3.4000000000000002E-2</v>
          </cell>
          <cell r="O1291">
            <v>5.258</v>
          </cell>
          <cell r="P1291">
            <v>0</v>
          </cell>
          <cell r="Q1291">
            <v>0</v>
          </cell>
          <cell r="R1291">
            <v>1.9000000000000003E-2</v>
          </cell>
          <cell r="S1291">
            <v>0</v>
          </cell>
          <cell r="T1291">
            <v>1.9000000000000003E-2</v>
          </cell>
          <cell r="U1291">
            <v>0</v>
          </cell>
          <cell r="V1291">
            <v>5.2770000000000001</v>
          </cell>
        </row>
        <row r="1292">
          <cell r="D1292" t="str">
            <v>JAPAN-Maintenance and Repairs, M$</v>
          </cell>
          <cell r="E1292">
            <v>1.5843952129920926</v>
          </cell>
          <cell r="F1292">
            <v>0</v>
          </cell>
          <cell r="G1292">
            <v>1.5843952129920926</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1.5843952129920926</v>
          </cell>
        </row>
        <row r="1293">
          <cell r="D1293" t="str">
            <v>JAPAN-Depreciation, M$</v>
          </cell>
          <cell r="E1293">
            <v>4.0977271320465949</v>
          </cell>
          <cell r="F1293">
            <v>0.59518080945497842</v>
          </cell>
          <cell r="G1293">
            <v>4.6929079415015735</v>
          </cell>
          <cell r="H1293">
            <v>1.7000000000000001E-2</v>
          </cell>
          <cell r="I1293">
            <v>0.189</v>
          </cell>
          <cell r="J1293">
            <v>0.12260862171584049</v>
          </cell>
          <cell r="K1293">
            <v>0</v>
          </cell>
          <cell r="L1293">
            <v>0.31160862171584047</v>
          </cell>
          <cell r="M1293">
            <v>0.70799999999999996</v>
          </cell>
          <cell r="N1293">
            <v>0</v>
          </cell>
          <cell r="O1293">
            <v>0.70799999999999996</v>
          </cell>
          <cell r="P1293">
            <v>0</v>
          </cell>
          <cell r="Q1293">
            <v>0</v>
          </cell>
          <cell r="R1293">
            <v>0</v>
          </cell>
          <cell r="S1293">
            <v>0</v>
          </cell>
          <cell r="T1293">
            <v>0</v>
          </cell>
          <cell r="U1293">
            <v>0</v>
          </cell>
          <cell r="V1293">
            <v>5.7295165632174143</v>
          </cell>
        </row>
        <row r="1294">
          <cell r="D1294" t="str">
            <v>JAPAN-Energy, M$</v>
          </cell>
          <cell r="E1294">
            <v>2.3255659892866252</v>
          </cell>
          <cell r="F1294">
            <v>0</v>
          </cell>
          <cell r="G1294">
            <v>2.3255659892866252</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2.3255659892866252</v>
          </cell>
        </row>
        <row r="1295">
          <cell r="D1295" t="str">
            <v>JAPAN-Direct Allocations from Other Business Lines (eg. FM, Chem), $M</v>
          </cell>
          <cell r="E1295">
            <v>0</v>
          </cell>
          <cell r="F1295">
            <v>0</v>
          </cell>
          <cell r="G1295">
            <v>0</v>
          </cell>
          <cell r="H1295">
            <v>0</v>
          </cell>
          <cell r="I1295">
            <v>-2E-3</v>
          </cell>
          <cell r="J1295">
            <v>0</v>
          </cell>
          <cell r="K1295">
            <v>0</v>
          </cell>
          <cell r="L1295">
            <v>-2E-3</v>
          </cell>
          <cell r="M1295">
            <v>4.9000000000000002E-2</v>
          </cell>
          <cell r="N1295">
            <v>0</v>
          </cell>
          <cell r="O1295">
            <v>4.9000000000000002E-2</v>
          </cell>
          <cell r="P1295">
            <v>0</v>
          </cell>
          <cell r="Q1295">
            <v>0</v>
          </cell>
          <cell r="R1295">
            <v>0</v>
          </cell>
          <cell r="S1295">
            <v>0</v>
          </cell>
          <cell r="T1295">
            <v>0</v>
          </cell>
          <cell r="U1295">
            <v>0</v>
          </cell>
          <cell r="V1295">
            <v>4.7E-2</v>
          </cell>
        </row>
        <row r="1296">
          <cell r="D1296" t="str">
            <v>JAPAN-Freight Cost, M$</v>
          </cell>
          <cell r="E1296">
            <v>0</v>
          </cell>
          <cell r="F1296">
            <v>24.316122579508541</v>
          </cell>
          <cell r="G1296">
            <v>24.316122579508541</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24.316122579508541</v>
          </cell>
        </row>
        <row r="1297">
          <cell r="D1297" t="str">
            <v>JAPAN-Other Direct OPEX, M$</v>
          </cell>
          <cell r="E1297">
            <v>7.5992626137233241</v>
          </cell>
          <cell r="F1297">
            <v>0.57939644588045236</v>
          </cell>
          <cell r="G1297">
            <v>8.1786590596037758</v>
          </cell>
          <cell r="H1297">
            <v>2.0880000000000001</v>
          </cell>
          <cell r="I1297">
            <v>2.1999999999999999E-2</v>
          </cell>
          <cell r="J1297">
            <v>0.48346229062154578</v>
          </cell>
          <cell r="K1297">
            <v>0</v>
          </cell>
          <cell r="L1297">
            <v>0.5054622906215458</v>
          </cell>
          <cell r="M1297">
            <v>7.7935359999999996</v>
          </cell>
          <cell r="N1297">
            <v>0.30100000000000005</v>
          </cell>
          <cell r="O1297">
            <v>8.0945359999999997</v>
          </cell>
          <cell r="P1297">
            <v>1E-3</v>
          </cell>
          <cell r="Q1297">
            <v>2.4840000000000001E-3</v>
          </cell>
          <cell r="R1297">
            <v>2.3979999999999998E-2</v>
          </cell>
          <cell r="S1297">
            <v>0</v>
          </cell>
          <cell r="T1297">
            <v>2.6463999999999998E-2</v>
          </cell>
          <cell r="U1297">
            <v>0.107</v>
          </cell>
          <cell r="V1297">
            <v>19.001121350225322</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-3.8421931099999966</v>
          </cell>
          <cell r="V1298">
            <v>-3.8421931099999966</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1.4733016790923825</v>
          </cell>
          <cell r="F1302">
            <v>2.0833933042471942</v>
          </cell>
          <cell r="G1302">
            <v>3.5566949833395767</v>
          </cell>
          <cell r="H1302">
            <v>0.39690000000000003</v>
          </cell>
          <cell r="I1302">
            <v>0.112</v>
          </cell>
          <cell r="J1302">
            <v>0.159967585089141</v>
          </cell>
          <cell r="K1302">
            <v>0</v>
          </cell>
          <cell r="L1302">
            <v>0.27196758508914104</v>
          </cell>
          <cell r="M1302">
            <v>4.0310000000000006</v>
          </cell>
          <cell r="N1302">
            <v>0.30600000000000005</v>
          </cell>
          <cell r="O1302">
            <v>4.3369999999999997</v>
          </cell>
          <cell r="P1302">
            <v>6.0999999999999999E-2</v>
          </cell>
          <cell r="Q1302">
            <v>0</v>
          </cell>
          <cell r="R1302">
            <v>4.1000000000000009E-2</v>
          </cell>
          <cell r="S1302">
            <v>0</v>
          </cell>
          <cell r="T1302">
            <v>4.1000000000000009E-2</v>
          </cell>
          <cell r="U1302">
            <v>-6.2852568428716671E-2</v>
          </cell>
          <cell r="V1302">
            <v>8.6017100000000024</v>
          </cell>
        </row>
        <row r="1303">
          <cell r="D1303" t="str">
            <v>KOREA-Total - Salaries, Wage and Benefits, M$</v>
          </cell>
          <cell r="E1303">
            <v>0.8642090761750405</v>
          </cell>
          <cell r="F1303">
            <v>0.10656564019448947</v>
          </cell>
          <cell r="G1303">
            <v>0.97077471636952994</v>
          </cell>
          <cell r="H1303">
            <v>0.3659</v>
          </cell>
          <cell r="I1303">
            <v>9.8000000000000004E-2</v>
          </cell>
          <cell r="J1303">
            <v>0.10332252836304699</v>
          </cell>
          <cell r="K1303">
            <v>0</v>
          </cell>
          <cell r="L1303">
            <v>0.20132252836304701</v>
          </cell>
          <cell r="M1303">
            <v>1.1120000000000001</v>
          </cell>
          <cell r="N1303">
            <v>0.13900000000000001</v>
          </cell>
          <cell r="O1303">
            <v>1.2510000000000001</v>
          </cell>
          <cell r="P1303">
            <v>0.06</v>
          </cell>
          <cell r="Q1303">
            <v>0</v>
          </cell>
          <cell r="R1303">
            <v>3.5000000000000003E-2</v>
          </cell>
          <cell r="S1303">
            <v>0</v>
          </cell>
          <cell r="T1303">
            <v>3.5000000000000003E-2</v>
          </cell>
          <cell r="U1303">
            <v>0.47700000000000004</v>
          </cell>
          <cell r="V1303">
            <v>3.3609972447325771</v>
          </cell>
        </row>
        <row r="1304">
          <cell r="D1304" t="str">
            <v>KOREA-Total - XOM Employee SWB, M$</v>
          </cell>
          <cell r="E1304">
            <v>0.49461669367909239</v>
          </cell>
          <cell r="F1304">
            <v>0.10656564019448947</v>
          </cell>
          <cell r="G1304">
            <v>0.60118233387358189</v>
          </cell>
          <cell r="H1304">
            <v>0.34389999999999998</v>
          </cell>
          <cell r="I1304">
            <v>7.6999999999999999E-2</v>
          </cell>
          <cell r="J1304">
            <v>8.837115072933549E-2</v>
          </cell>
          <cell r="K1304">
            <v>0</v>
          </cell>
          <cell r="L1304">
            <v>0.1653711507293355</v>
          </cell>
          <cell r="M1304">
            <v>1.1000000000000001</v>
          </cell>
          <cell r="N1304">
            <v>0.13900000000000001</v>
          </cell>
          <cell r="O1304">
            <v>1.2390000000000001</v>
          </cell>
          <cell r="P1304">
            <v>5.6000000000000001E-2</v>
          </cell>
          <cell r="Q1304">
            <v>0</v>
          </cell>
          <cell r="R1304">
            <v>3.5000000000000003E-2</v>
          </cell>
          <cell r="S1304">
            <v>0</v>
          </cell>
          <cell r="T1304">
            <v>3.5000000000000003E-2</v>
          </cell>
          <cell r="U1304">
            <v>0.46100000000000002</v>
          </cell>
          <cell r="V1304">
            <v>2.9014534846029174</v>
          </cell>
        </row>
        <row r="1305">
          <cell r="D1305" t="str">
            <v>KOREA-Total - Contract Employee SWB, M$</v>
          </cell>
          <cell r="E1305">
            <v>0.36959238249594811</v>
          </cell>
          <cell r="F1305">
            <v>0</v>
          </cell>
          <cell r="G1305">
            <v>0.36959238249594811</v>
          </cell>
          <cell r="H1305">
            <v>2.1999999999999999E-2</v>
          </cell>
          <cell r="I1305">
            <v>2.1000000000000001E-2</v>
          </cell>
          <cell r="J1305">
            <v>1.4951377633711507E-2</v>
          </cell>
          <cell r="K1305">
            <v>0</v>
          </cell>
          <cell r="L1305">
            <v>3.5951377633711507E-2</v>
          </cell>
          <cell r="M1305">
            <v>1.2E-2</v>
          </cell>
          <cell r="N1305">
            <v>0</v>
          </cell>
          <cell r="O1305">
            <v>1.2E-2</v>
          </cell>
          <cell r="P1305">
            <v>4.0000000000000001E-3</v>
          </cell>
          <cell r="Q1305">
            <v>0</v>
          </cell>
          <cell r="R1305">
            <v>0</v>
          </cell>
          <cell r="S1305">
            <v>0</v>
          </cell>
          <cell r="T1305">
            <v>0</v>
          </cell>
          <cell r="U1305">
            <v>1.6E-2</v>
          </cell>
          <cell r="V1305">
            <v>0.4595437601296597</v>
          </cell>
        </row>
        <row r="1306">
          <cell r="D1306" t="str">
            <v>KOREA-Total - Employee Expenses (T&amp;E), M$</v>
          </cell>
          <cell r="E1306">
            <v>1.1021069692058346E-2</v>
          </cell>
          <cell r="F1306">
            <v>1.3589951377633712E-2</v>
          </cell>
          <cell r="G1306">
            <v>2.4611021069692058E-2</v>
          </cell>
          <cell r="H1306">
            <v>0.01</v>
          </cell>
          <cell r="I1306">
            <v>3.0000000000000001E-3</v>
          </cell>
          <cell r="J1306">
            <v>0</v>
          </cell>
          <cell r="K1306">
            <v>0</v>
          </cell>
          <cell r="L1306">
            <v>3.0000000000000001E-3</v>
          </cell>
          <cell r="M1306">
            <v>0.10400000000000001</v>
          </cell>
          <cell r="N1306">
            <v>5.8999999999999997E-2</v>
          </cell>
          <cell r="O1306">
            <v>0.16300000000000001</v>
          </cell>
          <cell r="P1306">
            <v>1E-3</v>
          </cell>
          <cell r="Q1306">
            <v>0</v>
          </cell>
          <cell r="R1306">
            <v>3.0000000000000001E-3</v>
          </cell>
          <cell r="S1306">
            <v>0</v>
          </cell>
          <cell r="T1306">
            <v>3.0000000000000001E-3</v>
          </cell>
          <cell r="U1306">
            <v>2.3E-2</v>
          </cell>
          <cell r="V1306">
            <v>0.22761102106969205</v>
          </cell>
        </row>
        <row r="1307">
          <cell r="D1307" t="str">
            <v>KOREA-Total - Training Expenses, M$</v>
          </cell>
          <cell r="E1307">
            <v>1.8322528363047E-2</v>
          </cell>
          <cell r="F1307">
            <v>1.3589951377633712E-2</v>
          </cell>
          <cell r="G1307">
            <v>3.1912479740680712E-2</v>
          </cell>
          <cell r="H1307">
            <v>2E-3</v>
          </cell>
          <cell r="I1307">
            <v>0</v>
          </cell>
          <cell r="J1307">
            <v>0</v>
          </cell>
          <cell r="K1307">
            <v>0</v>
          </cell>
          <cell r="L1307">
            <v>0</v>
          </cell>
          <cell r="M1307">
            <v>6.0000000000000001E-3</v>
          </cell>
          <cell r="N1307">
            <v>2E-3</v>
          </cell>
          <cell r="O1307">
            <v>8.0000000000000002E-3</v>
          </cell>
          <cell r="P1307">
            <v>0</v>
          </cell>
          <cell r="Q1307">
            <v>0</v>
          </cell>
          <cell r="R1307">
            <v>0</v>
          </cell>
          <cell r="S1307">
            <v>0</v>
          </cell>
          <cell r="T1307">
            <v>0</v>
          </cell>
          <cell r="U1307">
            <v>0</v>
          </cell>
          <cell r="V1307">
            <v>4.1912479740680714E-2</v>
          </cell>
        </row>
        <row r="1308">
          <cell r="D1308" t="str">
            <v>KOREA-Total - Consultancy/Professional Fees, M$</v>
          </cell>
          <cell r="E1308">
            <v>0</v>
          </cell>
          <cell r="F1308">
            <v>0</v>
          </cell>
          <cell r="G1308">
            <v>0</v>
          </cell>
          <cell r="H1308">
            <v>1.2E-2</v>
          </cell>
          <cell r="I1308">
            <v>2E-3</v>
          </cell>
          <cell r="J1308">
            <v>0</v>
          </cell>
          <cell r="K1308">
            <v>0</v>
          </cell>
          <cell r="L1308">
            <v>2E-3</v>
          </cell>
          <cell r="M1308">
            <v>0.03</v>
          </cell>
          <cell r="N1308">
            <v>0.2</v>
          </cell>
          <cell r="O1308">
            <v>0.23</v>
          </cell>
          <cell r="P1308">
            <v>0</v>
          </cell>
          <cell r="Q1308">
            <v>0</v>
          </cell>
          <cell r="R1308">
            <v>0</v>
          </cell>
          <cell r="S1308">
            <v>0</v>
          </cell>
          <cell r="T1308">
            <v>0</v>
          </cell>
          <cell r="U1308">
            <v>2.5000000000000001E-2</v>
          </cell>
          <cell r="V1308">
            <v>0.26900000000000002</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5.6726094003241488E-2</v>
          </cell>
          <cell r="F1310">
            <v>0</v>
          </cell>
          <cell r="G1310">
            <v>5.6726094003241488E-2</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5.6726094003241488E-2</v>
          </cell>
        </row>
        <row r="1311">
          <cell r="D1311" t="str">
            <v>KOREA-Depreciation, M$</v>
          </cell>
          <cell r="E1311">
            <v>0.23381342949756886</v>
          </cell>
          <cell r="F1311">
            <v>0</v>
          </cell>
          <cell r="G1311">
            <v>0.23381342949756886</v>
          </cell>
          <cell r="H1311">
            <v>0</v>
          </cell>
          <cell r="I1311">
            <v>0</v>
          </cell>
          <cell r="J1311">
            <v>1.9448946515397082E-3</v>
          </cell>
          <cell r="K1311">
            <v>0</v>
          </cell>
          <cell r="L1311">
            <v>1.9448946515397082E-3</v>
          </cell>
          <cell r="M1311">
            <v>0.31</v>
          </cell>
          <cell r="N1311">
            <v>0</v>
          </cell>
          <cell r="O1311">
            <v>0.31</v>
          </cell>
          <cell r="P1311">
            <v>0</v>
          </cell>
          <cell r="Q1311">
            <v>0</v>
          </cell>
          <cell r="R1311">
            <v>0</v>
          </cell>
          <cell r="S1311">
            <v>0</v>
          </cell>
          <cell r="T1311">
            <v>0</v>
          </cell>
          <cell r="U1311">
            <v>0</v>
          </cell>
          <cell r="V1311">
            <v>0.54575832414910863</v>
          </cell>
        </row>
        <row r="1312">
          <cell r="D1312" t="str">
            <v>KOREA-Energy, M$</v>
          </cell>
          <cell r="E1312">
            <v>0.12985372771474879</v>
          </cell>
          <cell r="F1312">
            <v>0</v>
          </cell>
          <cell r="G1312">
            <v>0.12985372771474879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0.12985372771474879</v>
          </cell>
        </row>
        <row r="1313">
          <cell r="D1313" t="str">
            <v>KOREA-Direct Allocations from Other Business Lines (eg. FM, Chem), $M</v>
          </cell>
          <cell r="E1313">
            <v>1.95E-2</v>
          </cell>
          <cell r="F1313">
            <v>0</v>
          </cell>
          <cell r="G1313">
            <v>1.95E-2</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1.95E-2</v>
          </cell>
        </row>
        <row r="1314">
          <cell r="D1314" t="str">
            <v>KOREA-Freight Cost, M$</v>
          </cell>
          <cell r="E1314">
            <v>0</v>
          </cell>
          <cell r="F1314">
            <v>1.9315764484935476</v>
          </cell>
          <cell r="G1314">
            <v>1.9315764484935476</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1.9315764484935476</v>
          </cell>
        </row>
        <row r="1315">
          <cell r="D1315" t="str">
            <v>KOREA-Other Direct OPEX, M$</v>
          </cell>
          <cell r="E1315">
            <v>0.13985575364667746</v>
          </cell>
          <cell r="F1315">
            <v>1.8071312803889791E-2</v>
          </cell>
          <cell r="G1315">
            <v>0.15792706645056726</v>
          </cell>
          <cell r="H1315">
            <v>7.0000000000000001E-3</v>
          </cell>
          <cell r="I1315">
            <v>8.9999999999999993E-3</v>
          </cell>
          <cell r="J1315">
            <v>5.4700162074554297E-2</v>
          </cell>
          <cell r="K1315">
            <v>0</v>
          </cell>
          <cell r="L1315">
            <v>6.3700162074554298E-2</v>
          </cell>
          <cell r="M1315">
            <v>0.99900000000000011</v>
          </cell>
          <cell r="N1315">
            <v>-9.3999999999999972E-2</v>
          </cell>
          <cell r="O1315">
            <v>0.90500000000000003</v>
          </cell>
          <cell r="P1315">
            <v>0</v>
          </cell>
          <cell r="Q1315">
            <v>0</v>
          </cell>
          <cell r="R1315">
            <v>3.0000000000000001E-3</v>
          </cell>
          <cell r="S1315">
            <v>0</v>
          </cell>
          <cell r="T1315">
            <v>3.0000000000000001E-3</v>
          </cell>
          <cell r="U1315">
            <v>0.11</v>
          </cell>
          <cell r="V1315">
            <v>1.2466272285251216</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-0.69785256842871668</v>
          </cell>
          <cell r="V1316">
            <v>-0.69785256842871668</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1.0277105263157895</v>
          </cell>
          <cell r="F1320">
            <v>1.8022105263157866</v>
          </cell>
          <cell r="G1320">
            <v>2.8299210526315761</v>
          </cell>
          <cell r="H1320">
            <v>0.41</v>
          </cell>
          <cell r="I1320">
            <v>0</v>
          </cell>
          <cell r="J1320">
            <v>0</v>
          </cell>
          <cell r="K1320">
            <v>0</v>
          </cell>
          <cell r="L1320">
            <v>0</v>
          </cell>
          <cell r="M1320">
            <v>3.2888306012401349</v>
          </cell>
          <cell r="N1320">
            <v>0.12995973684210527</v>
          </cell>
          <cell r="O1320">
            <v>3.41879033808224</v>
          </cell>
          <cell r="P1320">
            <v>5.1742050000000005E-2</v>
          </cell>
          <cell r="Q1320">
            <v>0</v>
          </cell>
          <cell r="R1320">
            <v>0.161</v>
          </cell>
          <cell r="S1320">
            <v>0.14800000000000002</v>
          </cell>
          <cell r="T1320">
            <v>0.30900000000000005</v>
          </cell>
          <cell r="U1320">
            <v>4.1706210526315818E-2</v>
          </cell>
          <cell r="V1320">
            <v>7.061159651240132</v>
          </cell>
        </row>
        <row r="1321">
          <cell r="D1321" t="str">
            <v>MALAYSIA-Total - Salaries, Wage and Benefits, M$</v>
          </cell>
          <cell r="E1321">
            <v>0.30289473684210527</v>
          </cell>
          <cell r="F1321">
            <v>0.17815789473684213</v>
          </cell>
          <cell r="G1321">
            <v>0.4810526315789474</v>
          </cell>
          <cell r="H1321">
            <v>0.21</v>
          </cell>
          <cell r="I1321">
            <v>0</v>
          </cell>
          <cell r="J1321">
            <v>0</v>
          </cell>
          <cell r="K1321">
            <v>0</v>
          </cell>
          <cell r="L1321">
            <v>0</v>
          </cell>
          <cell r="M1321">
            <v>0.91201324136146844</v>
          </cell>
          <cell r="N1321">
            <v>6.8159736842105273E-2</v>
          </cell>
          <cell r="O1321">
            <v>0.98017297820357374</v>
          </cell>
          <cell r="P1321">
            <v>4.8742050000000002E-2</v>
          </cell>
          <cell r="Q1321">
            <v>0</v>
          </cell>
          <cell r="R1321">
            <v>0.13400000000000001</v>
          </cell>
          <cell r="S1321">
            <v>0.13</v>
          </cell>
          <cell r="T1321">
            <v>0.26400000000000001</v>
          </cell>
          <cell r="U1321">
            <v>0.112</v>
          </cell>
          <cell r="V1321">
            <v>2.095967659782521</v>
          </cell>
        </row>
        <row r="1322">
          <cell r="D1322" t="str">
            <v>MALAYSIA-Total - XOM Employee SWB, M$</v>
          </cell>
          <cell r="E1322">
            <v>0.20421052631578948</v>
          </cell>
          <cell r="F1322">
            <v>0.16500000000000001</v>
          </cell>
          <cell r="G1322">
            <v>0.36921052631578949</v>
          </cell>
          <cell r="H1322">
            <v>0.18</v>
          </cell>
          <cell r="I1322">
            <v>0</v>
          </cell>
          <cell r="J1322">
            <v>0</v>
          </cell>
          <cell r="K1322">
            <v>0</v>
          </cell>
          <cell r="L1322">
            <v>0</v>
          </cell>
          <cell r="M1322">
            <v>0.89836324136146839</v>
          </cell>
          <cell r="N1322">
            <v>6.6159736842105271E-2</v>
          </cell>
          <cell r="O1322">
            <v>0.96452297820357369</v>
          </cell>
          <cell r="P1322">
            <v>4.8742050000000002E-2</v>
          </cell>
          <cell r="Q1322">
            <v>0</v>
          </cell>
          <cell r="R1322">
            <v>0.13400000000000001</v>
          </cell>
          <cell r="S1322">
            <v>0.13</v>
          </cell>
          <cell r="T1322">
            <v>0.26400000000000001</v>
          </cell>
          <cell r="U1322">
            <v>0.112</v>
          </cell>
          <cell r="V1322">
            <v>1.9384755545193633</v>
          </cell>
        </row>
        <row r="1323">
          <cell r="D1323" t="str">
            <v>MALAYSIA-Total - Contract Employee SWB, M$</v>
          </cell>
          <cell r="E1323">
            <v>9.8684210526315791E-2</v>
          </cell>
          <cell r="F1323">
            <v>1.3157894736842106E-2</v>
          </cell>
          <cell r="G1323">
            <v>0.1118421052631579</v>
          </cell>
          <cell r="H1323">
            <v>0.03</v>
          </cell>
          <cell r="I1323">
            <v>0</v>
          </cell>
          <cell r="J1323">
            <v>0</v>
          </cell>
          <cell r="K1323">
            <v>0</v>
          </cell>
          <cell r="L1323">
            <v>0</v>
          </cell>
          <cell r="M1323">
            <v>1.3650000000000001E-2</v>
          </cell>
          <cell r="N1323">
            <v>2E-3</v>
          </cell>
          <cell r="O1323">
            <v>1.5650000000000001E-2</v>
          </cell>
          <cell r="P1323">
            <v>0</v>
          </cell>
          <cell r="Q1323">
            <v>0</v>
          </cell>
          <cell r="R1323">
            <v>0</v>
          </cell>
          <cell r="S1323">
            <v>0</v>
          </cell>
          <cell r="T1323">
            <v>0</v>
          </cell>
          <cell r="U1323">
            <v>0</v>
          </cell>
          <cell r="V1323">
            <v>0.15749210526315788</v>
          </cell>
        </row>
        <row r="1324">
          <cell r="D1324" t="str">
            <v>MALAYSIA-Total - Employee Expenses (T&amp;E), M$</v>
          </cell>
          <cell r="E1324">
            <v>3.9473684210526317E-3</v>
          </cell>
          <cell r="F1324">
            <v>0</v>
          </cell>
          <cell r="G1324">
            <v>3.9473684210526317E-3</v>
          </cell>
          <cell r="H1324">
            <v>0.02</v>
          </cell>
          <cell r="I1324">
            <v>0</v>
          </cell>
          <cell r="J1324">
            <v>0</v>
          </cell>
          <cell r="K1324">
            <v>0</v>
          </cell>
          <cell r="L1324">
            <v>0</v>
          </cell>
          <cell r="M1324">
            <v>0.21160680000000001</v>
          </cell>
          <cell r="N1324">
            <v>1.9E-2</v>
          </cell>
          <cell r="O1324">
            <v>0.2306068</v>
          </cell>
          <cell r="P1324">
            <v>3.0000000000000001E-3</v>
          </cell>
          <cell r="Q1324">
            <v>0</v>
          </cell>
          <cell r="R1324">
            <v>1.7999999999999999E-2</v>
          </cell>
          <cell r="S1324">
            <v>6.0000000000000001E-3</v>
          </cell>
          <cell r="T1324">
            <v>2.4E-2</v>
          </cell>
          <cell r="U1324">
            <v>0</v>
          </cell>
          <cell r="V1324">
            <v>0.28155416842105269</v>
          </cell>
        </row>
        <row r="1325">
          <cell r="D1325" t="str">
            <v>MALAYSIA-Total - Training Expenses, M$</v>
          </cell>
          <cell r="E1325">
            <v>0</v>
          </cell>
          <cell r="F1325">
            <v>0</v>
          </cell>
          <cell r="G1325">
            <v>0</v>
          </cell>
          <cell r="H1325">
            <v>0.02</v>
          </cell>
          <cell r="I1325">
            <v>0</v>
          </cell>
          <cell r="J1325">
            <v>0</v>
          </cell>
          <cell r="K1325">
            <v>0</v>
          </cell>
          <cell r="L1325">
            <v>0</v>
          </cell>
          <cell r="M1325">
            <v>1.2427199999999999E-2</v>
          </cell>
          <cell r="N1325">
            <v>1E-3</v>
          </cell>
          <cell r="O1325">
            <v>1.34272E-2</v>
          </cell>
          <cell r="P1325">
            <v>0</v>
          </cell>
          <cell r="Q1325">
            <v>0</v>
          </cell>
          <cell r="R1325">
            <v>1E-3</v>
          </cell>
          <cell r="S1325">
            <v>3.0000000000000001E-3</v>
          </cell>
          <cell r="T1325">
            <v>4.0000000000000001E-3</v>
          </cell>
          <cell r="U1325">
            <v>0</v>
          </cell>
          <cell r="V1325">
            <v>3.7427200000000008E-2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2.5000000000000001E-3</v>
          </cell>
          <cell r="O1326">
            <v>2.5000000000000001E-3</v>
          </cell>
          <cell r="P1326">
            <v>0</v>
          </cell>
          <cell r="Q1326">
            <v>0</v>
          </cell>
          <cell r="R1326">
            <v>0</v>
          </cell>
          <cell r="S1326">
            <v>0</v>
          </cell>
          <cell r="T1326">
            <v>0</v>
          </cell>
          <cell r="U1326">
            <v>0</v>
          </cell>
          <cell r="V1326">
            <v>2.5000000000000001E-3</v>
          </cell>
        </row>
        <row r="1327">
          <cell r="D1327" t="str">
            <v>MALAYSIA-Advertising and Promotions, M$</v>
          </cell>
          <cell r="E1327">
            <v>0</v>
          </cell>
          <cell r="F1327">
            <v>0</v>
          </cell>
          <cell r="G1327">
            <v>0</v>
          </cell>
          <cell r="H1327">
            <v>0</v>
          </cell>
          <cell r="I1327">
            <v>0</v>
          </cell>
          <cell r="J1327">
            <v>0</v>
          </cell>
          <cell r="K1327">
            <v>0</v>
          </cell>
          <cell r="L1327">
            <v>0</v>
          </cell>
          <cell r="M1327">
            <v>0.6543000000000001</v>
          </cell>
          <cell r="N1327">
            <v>0</v>
          </cell>
          <cell r="O1327">
            <v>0.6543000000000001</v>
          </cell>
          <cell r="P1327">
            <v>0</v>
          </cell>
          <cell r="Q1327">
            <v>0</v>
          </cell>
          <cell r="R1327">
            <v>0</v>
          </cell>
          <cell r="S1327">
            <v>0</v>
          </cell>
          <cell r="T1327">
            <v>0</v>
          </cell>
          <cell r="U1327">
            <v>0</v>
          </cell>
          <cell r="V1327">
            <v>0.6543000000000001</v>
          </cell>
        </row>
        <row r="1328">
          <cell r="D1328" t="str">
            <v>MALAYSIA-Maintenance and Repairs, M$</v>
          </cell>
          <cell r="E1328">
            <v>0.05</v>
          </cell>
          <cell r="F1328">
            <v>0</v>
          </cell>
          <cell r="G1328">
            <v>0.05</v>
          </cell>
          <cell r="H1328">
            <v>0</v>
          </cell>
          <cell r="I1328">
            <v>0</v>
          </cell>
          <cell r="J1328">
            <v>0</v>
          </cell>
          <cell r="K1328">
            <v>0</v>
          </cell>
          <cell r="L1328">
            <v>0</v>
          </cell>
          <cell r="M1328">
            <v>9.35E-2</v>
          </cell>
          <cell r="N1328">
            <v>0</v>
          </cell>
          <cell r="O1328">
            <v>9.35E-2</v>
          </cell>
          <cell r="P1328">
            <v>0</v>
          </cell>
          <cell r="Q1328">
            <v>0</v>
          </cell>
          <cell r="R1328">
            <v>0</v>
          </cell>
          <cell r="S1328">
            <v>0</v>
          </cell>
          <cell r="T1328">
            <v>0</v>
          </cell>
          <cell r="U1328">
            <v>0</v>
          </cell>
          <cell r="V1328">
            <v>0.14350000000000002</v>
          </cell>
        </row>
        <row r="1329">
          <cell r="D1329" t="str">
            <v>MALAYSIA-Depreciation, M$</v>
          </cell>
          <cell r="E1329">
            <v>0.24126315789473685</v>
          </cell>
          <cell r="F1329">
            <v>0</v>
          </cell>
          <cell r="G1329">
            <v>0.24126315789473685</v>
          </cell>
          <cell r="H1329">
            <v>0</v>
          </cell>
          <cell r="I1329">
            <v>0</v>
          </cell>
          <cell r="J1329">
            <v>0</v>
          </cell>
          <cell r="K1329">
            <v>0</v>
          </cell>
          <cell r="L1329">
            <v>0</v>
          </cell>
          <cell r="M1329">
            <v>0.47142496666666667</v>
          </cell>
          <cell r="N1329">
            <v>0</v>
          </cell>
          <cell r="O1329">
            <v>0.47142496666666667</v>
          </cell>
          <cell r="P1329">
            <v>0</v>
          </cell>
          <cell r="Q1329">
            <v>0</v>
          </cell>
          <cell r="R1329">
            <v>0</v>
          </cell>
          <cell r="S1329">
            <v>0</v>
          </cell>
          <cell r="T1329">
            <v>0</v>
          </cell>
          <cell r="U1329">
            <v>0</v>
          </cell>
          <cell r="V1329">
            <v>0.71268812456140351</v>
          </cell>
        </row>
        <row r="1330">
          <cell r="D1330" t="str">
            <v>MALAYSIA-Energy, M$</v>
          </cell>
          <cell r="E1330">
            <v>0.18184210526315792</v>
          </cell>
          <cell r="F1330">
            <v>0</v>
          </cell>
          <cell r="G1330">
            <v>0.18184210526315792</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0.18184210526315792</v>
          </cell>
        </row>
        <row r="1331">
          <cell r="D1331" t="str">
            <v>MALAYSIA-Direct Allocations from Other Business Lines (eg. FM, Chem), $M</v>
          </cell>
          <cell r="E1331">
            <v>6.3157894736842107E-2</v>
          </cell>
          <cell r="F1331">
            <v>0</v>
          </cell>
          <cell r="G1331">
            <v>6.3157894736842107E-2</v>
          </cell>
          <cell r="H1331">
            <v>0</v>
          </cell>
          <cell r="I1331">
            <v>0</v>
          </cell>
          <cell r="J1331">
            <v>0</v>
          </cell>
          <cell r="K1331">
            <v>0</v>
          </cell>
          <cell r="L1331">
            <v>0</v>
          </cell>
          <cell r="M1331">
            <v>0.14070000000000002</v>
          </cell>
          <cell r="N1331">
            <v>0</v>
          </cell>
          <cell r="O1331">
            <v>0.14070000000000002</v>
          </cell>
          <cell r="P1331">
            <v>0</v>
          </cell>
          <cell r="Q1331">
            <v>0</v>
          </cell>
          <cell r="R1331">
            <v>0</v>
          </cell>
          <cell r="S1331">
            <v>0</v>
          </cell>
          <cell r="T1331">
            <v>0</v>
          </cell>
          <cell r="U1331">
            <v>0</v>
          </cell>
          <cell r="V1331">
            <v>0.20385789473684213</v>
          </cell>
        </row>
        <row r="1332">
          <cell r="D1332" t="str">
            <v>MALAYSIA-Freight Cost, M$</v>
          </cell>
          <cell r="E1332">
            <v>0</v>
          </cell>
          <cell r="F1332">
            <v>1.5819473684210499</v>
          </cell>
          <cell r="G1332">
            <v>1.5819473684210499</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1.5819473684210499</v>
          </cell>
        </row>
        <row r="1333">
          <cell r="D1333" t="str">
            <v>MALAYSIA-Other Direct OPEX, M$</v>
          </cell>
          <cell r="E1333">
            <v>0.18460526315789474</v>
          </cell>
          <cell r="F1333">
            <v>4.2105263157894743E-2</v>
          </cell>
          <cell r="G1333">
            <v>0.22671052631578947</v>
          </cell>
          <cell r="H1333">
            <v>0.16</v>
          </cell>
          <cell r="I1333">
            <v>0</v>
          </cell>
          <cell r="J1333">
            <v>0</v>
          </cell>
          <cell r="K1333">
            <v>0</v>
          </cell>
          <cell r="L1333">
            <v>0</v>
          </cell>
          <cell r="M1333">
            <v>0.79285839321199991</v>
          </cell>
          <cell r="N1333">
            <v>3.9300000000000002E-2</v>
          </cell>
          <cell r="O1333">
            <v>0.83215839321199991</v>
          </cell>
          <cell r="P1333">
            <v>0</v>
          </cell>
          <cell r="Q1333">
            <v>0</v>
          </cell>
          <cell r="R1333">
            <v>8.0000000000000002E-3</v>
          </cell>
          <cell r="S1333">
            <v>8.9999999999999993E-3</v>
          </cell>
          <cell r="T1333">
            <v>1.7000000000000001E-2</v>
          </cell>
          <cell r="U1333">
            <v>4.8000000000000001E-2</v>
          </cell>
          <cell r="V1333">
            <v>1.2838689195277895</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-0.11829378947368419</v>
          </cell>
          <cell r="V1334">
            <v>-0.11829378947368419</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0.71030434065934067</v>
          </cell>
          <cell r="F1338">
            <v>2.1951054945054946</v>
          </cell>
          <cell r="G1338">
            <v>2.9054098351648352</v>
          </cell>
          <cell r="H1338">
            <v>0.38769200000000004</v>
          </cell>
          <cell r="I1338">
            <v>0</v>
          </cell>
          <cell r="J1338">
            <v>0</v>
          </cell>
          <cell r="K1338">
            <v>0</v>
          </cell>
          <cell r="L1338">
            <v>0</v>
          </cell>
          <cell r="M1338">
            <v>3.2090039999999997</v>
          </cell>
          <cell r="N1338">
            <v>0.12590299999999999</v>
          </cell>
          <cell r="O1338">
            <v>3.3349070000000003</v>
          </cell>
          <cell r="P1338">
            <v>0</v>
          </cell>
          <cell r="Q1338">
            <v>0</v>
          </cell>
          <cell r="R1338">
            <v>7.5999999999999998E-2</v>
          </cell>
          <cell r="S1338">
            <v>0</v>
          </cell>
          <cell r="T1338">
            <v>7.5999999999999998E-2</v>
          </cell>
          <cell r="U1338">
            <v>-0.15654900000000449</v>
          </cell>
          <cell r="V1338">
            <v>6.5474598351648305</v>
          </cell>
        </row>
        <row r="1339">
          <cell r="D1339" t="str">
            <v>NEW ZEALAND-Total - Salaries, Wage and Benefits, M$</v>
          </cell>
          <cell r="E1339">
            <v>8.1329670329670315E-3</v>
          </cell>
          <cell r="F1339">
            <v>0.16084670329670331</v>
          </cell>
          <cell r="G1339">
            <v>0.16897967032967032</v>
          </cell>
          <cell r="H1339">
            <v>0.27692299999999997</v>
          </cell>
          <cell r="I1339">
            <v>0</v>
          </cell>
          <cell r="J1339">
            <v>0</v>
          </cell>
          <cell r="K1339">
            <v>0</v>
          </cell>
          <cell r="L1339">
            <v>0</v>
          </cell>
          <cell r="M1339">
            <v>0.59076200000000001</v>
          </cell>
          <cell r="N1339">
            <v>8.2702999999999999E-2</v>
          </cell>
          <cell r="O1339">
            <v>0.67346499999999998</v>
          </cell>
          <cell r="P1339">
            <v>0</v>
          </cell>
          <cell r="Q1339">
            <v>0</v>
          </cell>
          <cell r="R1339">
            <v>2.8000000000000004E-2</v>
          </cell>
          <cell r="S1339">
            <v>0</v>
          </cell>
          <cell r="T1339">
            <v>2.8000000000000004E-2</v>
          </cell>
          <cell r="U1339">
            <v>0</v>
          </cell>
          <cell r="V1339">
            <v>1.1473676703296702</v>
          </cell>
        </row>
        <row r="1340">
          <cell r="D1340" t="str">
            <v>NEW ZEALAND-Total - XOM Employee SWB, M$</v>
          </cell>
          <cell r="E1340">
            <v>8.1329670329670315E-3</v>
          </cell>
          <cell r="F1340">
            <v>0.10779615384615385</v>
          </cell>
          <cell r="G1340">
            <v>0.11592912087912088</v>
          </cell>
          <cell r="H1340">
            <v>0.25615399999999999</v>
          </cell>
          <cell r="I1340">
            <v>0</v>
          </cell>
          <cell r="J1340">
            <v>0</v>
          </cell>
          <cell r="K1340">
            <v>0</v>
          </cell>
          <cell r="L1340">
            <v>0</v>
          </cell>
          <cell r="M1340">
            <v>0.59076200000000001</v>
          </cell>
          <cell r="N1340">
            <v>8.2702999999999999E-2</v>
          </cell>
          <cell r="O1340">
            <v>0.67346499999999998</v>
          </cell>
          <cell r="P1340">
            <v>0</v>
          </cell>
          <cell r="Q1340">
            <v>0</v>
          </cell>
          <cell r="R1340">
            <v>2.7000000000000003E-2</v>
          </cell>
          <cell r="S1340">
            <v>0</v>
          </cell>
          <cell r="T1340">
            <v>2.7000000000000003E-2</v>
          </cell>
          <cell r="U1340">
            <v>0</v>
          </cell>
          <cell r="V1340">
            <v>1.0725481208791208</v>
          </cell>
        </row>
        <row r="1341">
          <cell r="D1341" t="str">
            <v>NEW ZEALAND-Total - Contract Employee SWB, M$</v>
          </cell>
          <cell r="E1341">
            <v>0</v>
          </cell>
          <cell r="F1341">
            <v>5.3050549450549447E-2</v>
          </cell>
          <cell r="G1341">
            <v>5.3050549450549447E-2</v>
          </cell>
          <cell r="H1341">
            <v>2.0768999999999999E-2</v>
          </cell>
          <cell r="I1341">
            <v>0</v>
          </cell>
          <cell r="J1341">
            <v>0</v>
          </cell>
          <cell r="K1341">
            <v>0</v>
          </cell>
          <cell r="L1341">
            <v>0</v>
          </cell>
          <cell r="M1341">
            <v>0</v>
          </cell>
          <cell r="N1341">
            <v>0</v>
          </cell>
          <cell r="O1341">
            <v>0</v>
          </cell>
          <cell r="P1341">
            <v>0</v>
          </cell>
          <cell r="Q1341">
            <v>0</v>
          </cell>
          <cell r="R1341">
            <v>1E-3</v>
          </cell>
          <cell r="S1341">
            <v>0</v>
          </cell>
          <cell r="T1341">
            <v>1E-3</v>
          </cell>
          <cell r="U1341">
            <v>0</v>
          </cell>
          <cell r="V1341">
            <v>7.4819549450549444E-2</v>
          </cell>
        </row>
        <row r="1342">
          <cell r="D1342" t="str">
            <v>NEW ZEALAND-Total - Employee Expenses (T&amp;E), M$</v>
          </cell>
          <cell r="E1342">
            <v>0</v>
          </cell>
          <cell r="F1342">
            <v>0</v>
          </cell>
          <cell r="G1342">
            <v>0</v>
          </cell>
          <cell r="H1342">
            <v>2.5714000000000001E-2</v>
          </cell>
          <cell r="I1342">
            <v>0</v>
          </cell>
          <cell r="J1342">
            <v>0</v>
          </cell>
          <cell r="K1342">
            <v>0</v>
          </cell>
          <cell r="L1342">
            <v>0</v>
          </cell>
          <cell r="M1342">
            <v>0.42233100000000001</v>
          </cell>
          <cell r="N1342">
            <v>3.2000000000000001E-2</v>
          </cell>
          <cell r="O1342">
            <v>0.45433100000000004</v>
          </cell>
          <cell r="P1342">
            <v>0</v>
          </cell>
          <cell r="Q1342">
            <v>0</v>
          </cell>
          <cell r="R1342">
            <v>4.0000000000000001E-3</v>
          </cell>
          <cell r="S1342">
            <v>0</v>
          </cell>
          <cell r="T1342">
            <v>4.0000000000000001E-3</v>
          </cell>
          <cell r="U1342">
            <v>0</v>
          </cell>
          <cell r="V1342">
            <v>0.48404500000000006</v>
          </cell>
        </row>
        <row r="1343">
          <cell r="D1343" t="str">
            <v>NEW ZEALAND-Total - Training Expenses, M$</v>
          </cell>
          <cell r="E1343">
            <v>0</v>
          </cell>
          <cell r="F1343">
            <v>0</v>
          </cell>
          <cell r="G1343">
            <v>0</v>
          </cell>
          <cell r="H1343">
            <v>3.4619999999999998E-3</v>
          </cell>
          <cell r="I1343">
            <v>0</v>
          </cell>
          <cell r="J1343">
            <v>0</v>
          </cell>
          <cell r="K1343">
            <v>0</v>
          </cell>
          <cell r="L1343">
            <v>0</v>
          </cell>
          <cell r="M1343">
            <v>1.7835E-2</v>
          </cell>
          <cell r="N1343">
            <v>1E-3</v>
          </cell>
          <cell r="O1343">
            <v>1.8835000000000001E-2</v>
          </cell>
          <cell r="P1343">
            <v>0</v>
          </cell>
          <cell r="Q1343">
            <v>0</v>
          </cell>
          <cell r="R1343">
            <v>1.9E-2</v>
          </cell>
          <cell r="S1343">
            <v>0</v>
          </cell>
          <cell r="T1343">
            <v>1.9E-2</v>
          </cell>
          <cell r="U1343">
            <v>0</v>
          </cell>
          <cell r="V1343">
            <v>4.1297E-2</v>
          </cell>
        </row>
        <row r="1344">
          <cell r="D1344" t="str">
            <v>NEW ZEALAND-Total - Consultancy/Professional Fees, M$</v>
          </cell>
          <cell r="E1344">
            <v>0</v>
          </cell>
          <cell r="F1344">
            <v>0</v>
          </cell>
          <cell r="G1344">
            <v>0</v>
          </cell>
          <cell r="H1344">
            <v>0</v>
          </cell>
          <cell r="I1344">
            <v>0</v>
          </cell>
          <cell r="J1344">
            <v>0</v>
          </cell>
          <cell r="K1344">
            <v>0</v>
          </cell>
          <cell r="L1344">
            <v>0</v>
          </cell>
          <cell r="M1344">
            <v>1.9262999999999999E-2</v>
          </cell>
          <cell r="N1344">
            <v>1.4999999999999999E-4</v>
          </cell>
          <cell r="O1344">
            <v>1.9413E-2</v>
          </cell>
          <cell r="P1344">
            <v>0</v>
          </cell>
          <cell r="Q1344">
            <v>0</v>
          </cell>
          <cell r="R1344">
            <v>1E-3</v>
          </cell>
          <cell r="S1344">
            <v>0</v>
          </cell>
          <cell r="T1344">
            <v>1E-3</v>
          </cell>
          <cell r="U1344">
            <v>0</v>
          </cell>
          <cell r="V1344">
            <v>2.0413000000000001E-2</v>
          </cell>
        </row>
        <row r="1345">
          <cell r="D1345" t="str">
            <v>NEW ZEALAND-Advertising and Promotions, M$</v>
          </cell>
          <cell r="E1345">
            <v>0</v>
          </cell>
          <cell r="F1345">
            <v>0</v>
          </cell>
          <cell r="G1345">
            <v>0</v>
          </cell>
          <cell r="H1345">
            <v>0</v>
          </cell>
          <cell r="I1345">
            <v>0</v>
          </cell>
          <cell r="J1345">
            <v>0</v>
          </cell>
          <cell r="K1345">
            <v>0</v>
          </cell>
          <cell r="L1345">
            <v>0</v>
          </cell>
          <cell r="M1345">
            <v>0.55100000000000005</v>
          </cell>
          <cell r="N1345">
            <v>0</v>
          </cell>
          <cell r="O1345">
            <v>0.55100000000000005</v>
          </cell>
          <cell r="P1345">
            <v>0</v>
          </cell>
          <cell r="Q1345">
            <v>0</v>
          </cell>
          <cell r="R1345">
            <v>0</v>
          </cell>
          <cell r="S1345">
            <v>0</v>
          </cell>
          <cell r="T1345">
            <v>0</v>
          </cell>
          <cell r="U1345">
            <v>0</v>
          </cell>
          <cell r="V1345">
            <v>0.55100000000000005</v>
          </cell>
        </row>
        <row r="1346">
          <cell r="D1346" t="str">
            <v>NEW ZEALAND-Maintenance and Repairs, M$</v>
          </cell>
          <cell r="E1346">
            <v>5.3401098901098903E-3</v>
          </cell>
          <cell r="F1346">
            <v>0</v>
          </cell>
          <cell r="G1346">
            <v>5.3401098901098903E-3</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0.31834010989010991</v>
          </cell>
        </row>
        <row r="1347">
          <cell r="D1347" t="str">
            <v>NEW ZEALAND-Depreciation, M$</v>
          </cell>
          <cell r="E1347">
            <v>0</v>
          </cell>
          <cell r="F1347">
            <v>0</v>
          </cell>
          <cell r="G1347">
            <v>0</v>
          </cell>
          <cell r="H1347">
            <v>2.967E-3</v>
          </cell>
          <cell r="I1347">
            <v>0</v>
          </cell>
          <cell r="J1347">
            <v>0</v>
          </cell>
          <cell r="K1347">
            <v>0</v>
          </cell>
          <cell r="L1347">
            <v>0</v>
          </cell>
          <cell r="M1347">
            <v>0.52072799999999997</v>
          </cell>
          <cell r="N1347">
            <v>1E-3</v>
          </cell>
          <cell r="O1347">
            <v>0.52172799999999997</v>
          </cell>
          <cell r="P1347">
            <v>0</v>
          </cell>
          <cell r="Q1347">
            <v>0</v>
          </cell>
          <cell r="R1347">
            <v>0</v>
          </cell>
          <cell r="S1347">
            <v>0</v>
          </cell>
          <cell r="T1347">
            <v>0</v>
          </cell>
          <cell r="U1347">
            <v>0</v>
          </cell>
          <cell r="V1347">
            <v>0.52469500000000002</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2.3723076923076923E-2</v>
          </cell>
          <cell r="F1349">
            <v>0</v>
          </cell>
          <cell r="G1349">
            <v>2.3723076923076923E-2</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2.3723076923076923E-2</v>
          </cell>
        </row>
        <row r="1350">
          <cell r="D1350" t="str">
            <v>NEW ZEALAND-Freight Cost, M$</v>
          </cell>
          <cell r="E1350">
            <v>0</v>
          </cell>
          <cell r="F1350">
            <v>1.650614285714286</v>
          </cell>
          <cell r="G1350">
            <v>1.650614285714286</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1.650614285714286</v>
          </cell>
        </row>
        <row r="1351">
          <cell r="D1351" t="str">
            <v>NEW ZEALAND-Other Direct OPEX, M$</v>
          </cell>
          <cell r="E1351">
            <v>0.67310818681318685</v>
          </cell>
          <cell r="F1351">
            <v>0.38364450549450513</v>
          </cell>
          <cell r="G1351">
            <v>1.056752692307692</v>
          </cell>
          <cell r="H1351">
            <v>7.8626000000000001E-2</v>
          </cell>
          <cell r="I1351">
            <v>0</v>
          </cell>
          <cell r="J1351">
            <v>0</v>
          </cell>
          <cell r="K1351">
            <v>0</v>
          </cell>
          <cell r="L1351">
            <v>0</v>
          </cell>
          <cell r="M1351">
            <v>0.77408499999999991</v>
          </cell>
          <cell r="N1351">
            <v>9.0500000000000008E-3</v>
          </cell>
          <cell r="O1351">
            <v>0.78313499999999991</v>
          </cell>
          <cell r="P1351">
            <v>0</v>
          </cell>
          <cell r="Q1351">
            <v>0</v>
          </cell>
          <cell r="R1351">
            <v>2.3999999999999994E-2</v>
          </cell>
          <cell r="S1351">
            <v>0</v>
          </cell>
          <cell r="T1351">
            <v>2.3999999999999994E-2</v>
          </cell>
          <cell r="U1351">
            <v>0</v>
          </cell>
          <cell r="V1351">
            <v>1.942513692307692</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-0.15654900000000449</v>
          </cell>
          <cell r="V1352">
            <v>-0.15654900000000449</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1.0000000000000002E-3</v>
          </cell>
          <cell r="F1356">
            <v>1.5000000000000002E-3</v>
          </cell>
          <cell r="G1356">
            <v>2.5000000000000001E-3</v>
          </cell>
          <cell r="H1356">
            <v>0</v>
          </cell>
          <cell r="I1356">
            <v>0</v>
          </cell>
          <cell r="J1356">
            <v>9.0000000000000019E-4</v>
          </cell>
          <cell r="K1356">
            <v>0</v>
          </cell>
          <cell r="L1356">
            <v>9.0000000000000019E-4</v>
          </cell>
          <cell r="M1356">
            <v>1.1870000000000001</v>
          </cell>
          <cell r="N1356">
            <v>6.3E-2</v>
          </cell>
          <cell r="O1356">
            <v>1.25</v>
          </cell>
          <cell r="P1356">
            <v>0</v>
          </cell>
          <cell r="Q1356">
            <v>0</v>
          </cell>
          <cell r="R1356">
            <v>0</v>
          </cell>
          <cell r="S1356">
            <v>0</v>
          </cell>
          <cell r="T1356">
            <v>0</v>
          </cell>
          <cell r="U1356">
            <v>-2.3999999999999577E-3</v>
          </cell>
          <cell r="V1356">
            <v>1.2510000000000001</v>
          </cell>
        </row>
        <row r="1357">
          <cell r="D1357" t="str">
            <v>PACIFIC ISLANDS-Total - Salaries, Wage and Benefits, M$</v>
          </cell>
          <cell r="E1357">
            <v>2.0000000000000001E-4</v>
          </cell>
          <cell r="F1357">
            <v>2.0000000000000001E-4</v>
          </cell>
          <cell r="G1357">
            <v>4.0000000000000002E-4</v>
          </cell>
          <cell r="H1357">
            <v>0</v>
          </cell>
          <cell r="I1357">
            <v>0</v>
          </cell>
          <cell r="J1357">
            <v>2.0000000000000001E-4</v>
          </cell>
          <cell r="K1357">
            <v>0</v>
          </cell>
          <cell r="L1357">
            <v>2.0000000000000001E-4</v>
          </cell>
          <cell r="M1357">
            <v>0</v>
          </cell>
          <cell r="N1357">
            <v>0</v>
          </cell>
          <cell r="O1357">
            <v>0</v>
          </cell>
          <cell r="P1357">
            <v>0</v>
          </cell>
          <cell r="Q1357">
            <v>0</v>
          </cell>
          <cell r="R1357">
            <v>0</v>
          </cell>
          <cell r="S1357">
            <v>0</v>
          </cell>
          <cell r="T1357">
            <v>0</v>
          </cell>
          <cell r="U1357">
            <v>0</v>
          </cell>
          <cell r="V1357">
            <v>6.0000000000000006E-4</v>
          </cell>
        </row>
        <row r="1358">
          <cell r="D1358" t="str">
            <v>PACIFIC ISLANDS-Total - XOM Employee SWB, M$</v>
          </cell>
          <cell r="E1358">
            <v>1E-4</v>
          </cell>
          <cell r="F1358">
            <v>1E-4</v>
          </cell>
          <cell r="G1358">
            <v>2.0000000000000001E-4</v>
          </cell>
          <cell r="H1358">
            <v>0</v>
          </cell>
          <cell r="I1358">
            <v>0</v>
          </cell>
          <cell r="J1358">
            <v>1E-4</v>
          </cell>
          <cell r="K1358">
            <v>0</v>
          </cell>
          <cell r="L1358">
            <v>1E-4</v>
          </cell>
          <cell r="M1358">
            <v>0</v>
          </cell>
          <cell r="N1358">
            <v>0</v>
          </cell>
          <cell r="O1358">
            <v>0</v>
          </cell>
          <cell r="P1358">
            <v>0</v>
          </cell>
          <cell r="Q1358">
            <v>0</v>
          </cell>
          <cell r="R1358">
            <v>0</v>
          </cell>
          <cell r="S1358">
            <v>0</v>
          </cell>
          <cell r="T1358">
            <v>0</v>
          </cell>
          <cell r="U1358">
            <v>0</v>
          </cell>
          <cell r="V1358">
            <v>3.0000000000000003E-4</v>
          </cell>
        </row>
        <row r="1359">
          <cell r="D1359" t="str">
            <v>PACIFIC ISLANDS-Total - Contract Employee SWB, M$</v>
          </cell>
          <cell r="E1359">
            <v>1E-4</v>
          </cell>
          <cell r="F1359">
            <v>1E-4</v>
          </cell>
          <cell r="G1359">
            <v>2.0000000000000001E-4</v>
          </cell>
          <cell r="H1359">
            <v>0</v>
          </cell>
          <cell r="I1359">
            <v>0</v>
          </cell>
          <cell r="J1359">
            <v>1E-4</v>
          </cell>
          <cell r="K1359">
            <v>0</v>
          </cell>
          <cell r="L1359">
            <v>1E-4</v>
          </cell>
          <cell r="M1359">
            <v>0</v>
          </cell>
          <cell r="N1359">
            <v>0</v>
          </cell>
          <cell r="O1359">
            <v>0</v>
          </cell>
          <cell r="P1359">
            <v>0</v>
          </cell>
          <cell r="Q1359">
            <v>0</v>
          </cell>
          <cell r="R1359">
            <v>0</v>
          </cell>
          <cell r="S1359">
            <v>0</v>
          </cell>
          <cell r="T1359">
            <v>0</v>
          </cell>
          <cell r="U1359">
            <v>0</v>
          </cell>
          <cell r="V1359">
            <v>3.0000000000000003E-4</v>
          </cell>
        </row>
        <row r="1360">
          <cell r="D1360" t="str">
            <v>PACIFIC ISLANDS-Total - Employee Expenses (T&amp;E), M$</v>
          </cell>
          <cell r="E1360">
            <v>1E-4</v>
          </cell>
          <cell r="F1360">
            <v>1E-4</v>
          </cell>
          <cell r="G1360">
            <v>2.0000000000000001E-4</v>
          </cell>
          <cell r="H1360">
            <v>0</v>
          </cell>
          <cell r="I1360">
            <v>0</v>
          </cell>
          <cell r="J1360">
            <v>1E-4</v>
          </cell>
          <cell r="K1360">
            <v>0</v>
          </cell>
          <cell r="L1360">
            <v>1E-4</v>
          </cell>
          <cell r="M1360">
            <v>0</v>
          </cell>
          <cell r="N1360">
            <v>0</v>
          </cell>
          <cell r="O1360">
            <v>0</v>
          </cell>
          <cell r="P1360">
            <v>0</v>
          </cell>
          <cell r="Q1360">
            <v>0</v>
          </cell>
          <cell r="R1360">
            <v>0</v>
          </cell>
          <cell r="S1360">
            <v>0</v>
          </cell>
          <cell r="T1360">
            <v>0</v>
          </cell>
          <cell r="U1360">
            <v>0</v>
          </cell>
          <cell r="V1360">
            <v>3.0000000000000003E-4</v>
          </cell>
        </row>
        <row r="1361">
          <cell r="D1361" t="str">
            <v>PACIFIC ISLANDS-Total - Training Expenses, M$</v>
          </cell>
          <cell r="E1361">
            <v>1E-4</v>
          </cell>
          <cell r="F1361">
            <v>1E-4</v>
          </cell>
          <cell r="G1361">
            <v>2.0000000000000001E-4</v>
          </cell>
          <cell r="H1361">
            <v>0</v>
          </cell>
          <cell r="I1361">
            <v>0</v>
          </cell>
          <cell r="J1361">
            <v>1E-4</v>
          </cell>
          <cell r="K1361">
            <v>0</v>
          </cell>
          <cell r="L1361">
            <v>1E-4</v>
          </cell>
          <cell r="M1361">
            <v>0</v>
          </cell>
          <cell r="N1361">
            <v>0</v>
          </cell>
          <cell r="O1361">
            <v>0</v>
          </cell>
          <cell r="P1361">
            <v>0</v>
          </cell>
          <cell r="Q1361">
            <v>0</v>
          </cell>
          <cell r="R1361">
            <v>0</v>
          </cell>
          <cell r="S1361">
            <v>0</v>
          </cell>
          <cell r="T1361">
            <v>0</v>
          </cell>
          <cell r="U1361">
            <v>0</v>
          </cell>
          <cell r="V1361">
            <v>3.0000000000000003E-4</v>
          </cell>
        </row>
        <row r="1362">
          <cell r="D1362" t="str">
            <v>PACIFIC ISLANDS-Total - Consultancy/Professional Fees, M$</v>
          </cell>
          <cell r="E1362">
            <v>1E-4</v>
          </cell>
          <cell r="F1362">
            <v>1E-4</v>
          </cell>
          <cell r="G1362">
            <v>2.0000000000000001E-4</v>
          </cell>
          <cell r="H1362">
            <v>0</v>
          </cell>
          <cell r="I1362">
            <v>0</v>
          </cell>
          <cell r="J1362">
            <v>1E-4</v>
          </cell>
          <cell r="K1362">
            <v>0</v>
          </cell>
          <cell r="L1362">
            <v>1E-4</v>
          </cell>
          <cell r="M1362">
            <v>0</v>
          </cell>
          <cell r="N1362">
            <v>0</v>
          </cell>
          <cell r="O1362">
            <v>0</v>
          </cell>
          <cell r="P1362">
            <v>0</v>
          </cell>
          <cell r="Q1362">
            <v>0</v>
          </cell>
          <cell r="R1362">
            <v>0</v>
          </cell>
          <cell r="S1362">
            <v>0</v>
          </cell>
          <cell r="T1362">
            <v>0</v>
          </cell>
          <cell r="U1362">
            <v>0</v>
          </cell>
          <cell r="V1362">
            <v>3.0000000000000003E-4</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1E-4</v>
          </cell>
          <cell r="F1364">
            <v>1E-4</v>
          </cell>
          <cell r="G1364">
            <v>2.0000000000000001E-4</v>
          </cell>
          <cell r="H1364">
            <v>0</v>
          </cell>
          <cell r="I1364">
            <v>0</v>
          </cell>
          <cell r="J1364">
            <v>1E-4</v>
          </cell>
          <cell r="K1364">
            <v>0</v>
          </cell>
          <cell r="L1364">
            <v>1E-4</v>
          </cell>
          <cell r="M1364">
            <v>0</v>
          </cell>
          <cell r="N1364">
            <v>0</v>
          </cell>
          <cell r="O1364">
            <v>0</v>
          </cell>
          <cell r="P1364">
            <v>0</v>
          </cell>
          <cell r="Q1364">
            <v>0</v>
          </cell>
          <cell r="R1364">
            <v>0</v>
          </cell>
          <cell r="S1364">
            <v>0</v>
          </cell>
          <cell r="T1364">
            <v>0</v>
          </cell>
          <cell r="U1364">
            <v>0</v>
          </cell>
          <cell r="V1364">
            <v>3.0000000000000003E-4</v>
          </cell>
        </row>
        <row r="1365">
          <cell r="D1365" t="str">
            <v>PACIFIC ISLANDS-Depreciation, M$</v>
          </cell>
          <cell r="E1365">
            <v>1E-4</v>
          </cell>
          <cell r="F1365">
            <v>1E-4</v>
          </cell>
          <cell r="G1365">
            <v>2.0000000000000001E-4</v>
          </cell>
          <cell r="H1365">
            <v>0</v>
          </cell>
          <cell r="I1365">
            <v>0</v>
          </cell>
          <cell r="J1365">
            <v>1E-4</v>
          </cell>
          <cell r="K1365">
            <v>0</v>
          </cell>
          <cell r="L1365">
            <v>1E-4</v>
          </cell>
          <cell r="M1365">
            <v>0</v>
          </cell>
          <cell r="N1365">
            <v>0</v>
          </cell>
          <cell r="O1365">
            <v>0</v>
          </cell>
          <cell r="P1365">
            <v>0</v>
          </cell>
          <cell r="Q1365">
            <v>0</v>
          </cell>
          <cell r="R1365">
            <v>0</v>
          </cell>
          <cell r="S1365">
            <v>0</v>
          </cell>
          <cell r="T1365">
            <v>0</v>
          </cell>
          <cell r="U1365">
            <v>0</v>
          </cell>
          <cell r="V1365">
            <v>3.0000000000000003E-4</v>
          </cell>
        </row>
        <row r="1366">
          <cell r="D1366" t="str">
            <v>PACIFIC ISLANDS-Energy, M$</v>
          </cell>
          <cell r="E1366">
            <v>1E-4</v>
          </cell>
          <cell r="F1366">
            <v>0</v>
          </cell>
          <cell r="G1366">
            <v>1E-4</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1E-4</v>
          </cell>
        </row>
        <row r="1367">
          <cell r="D1367" t="str">
            <v>PACIFIC ISLANDS-Direct Allocations from Other Business Lines (eg. FM, Chem), $M</v>
          </cell>
          <cell r="E1367">
            <v>1E-4</v>
          </cell>
          <cell r="F1367">
            <v>1E-4</v>
          </cell>
          <cell r="G1367">
            <v>2.0000000000000001E-4</v>
          </cell>
          <cell r="H1367">
            <v>0</v>
          </cell>
          <cell r="I1367">
            <v>0</v>
          </cell>
          <cell r="J1367">
            <v>1E-4</v>
          </cell>
          <cell r="K1367">
            <v>0</v>
          </cell>
          <cell r="L1367">
            <v>1E-4</v>
          </cell>
          <cell r="M1367">
            <v>0</v>
          </cell>
          <cell r="N1367">
            <v>0</v>
          </cell>
          <cell r="O1367">
            <v>0</v>
          </cell>
          <cell r="P1367">
            <v>0</v>
          </cell>
          <cell r="Q1367">
            <v>0</v>
          </cell>
          <cell r="R1367">
            <v>0</v>
          </cell>
          <cell r="S1367">
            <v>0</v>
          </cell>
          <cell r="T1367">
            <v>0</v>
          </cell>
          <cell r="U1367">
            <v>0</v>
          </cell>
          <cell r="V1367">
            <v>3.0000000000000003E-4</v>
          </cell>
        </row>
        <row r="1368">
          <cell r="D1368" t="str">
            <v>PACIFIC ISLANDS-Freight Cost, M$</v>
          </cell>
          <cell r="E1368">
            <v>0</v>
          </cell>
          <cell r="F1368">
            <v>6.0000000000000006E-4</v>
          </cell>
          <cell r="G1368">
            <v>6.0000000000000006E-4</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6.0000000000000006E-4</v>
          </cell>
        </row>
        <row r="1369">
          <cell r="D1369" t="str">
            <v>PACIFIC ISLANDS-Other Direct OPEX, M$</v>
          </cell>
          <cell r="E1369">
            <v>1E-4</v>
          </cell>
          <cell r="F1369">
            <v>1E-4</v>
          </cell>
          <cell r="G1369">
            <v>2.0000000000000001E-4</v>
          </cell>
          <cell r="H1369">
            <v>0</v>
          </cell>
          <cell r="I1369">
            <v>0</v>
          </cell>
          <cell r="J1369">
            <v>1E-4</v>
          </cell>
          <cell r="K1369">
            <v>0</v>
          </cell>
          <cell r="L1369">
            <v>1E-4</v>
          </cell>
          <cell r="M1369">
            <v>1.1870000000000001</v>
          </cell>
          <cell r="N1369">
            <v>6.3E-2</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-2.3999999999999577E-3</v>
          </cell>
          <cell r="V1370">
            <v>-2.3999999999999577E-3</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0.41367663653334696</v>
          </cell>
          <cell r="F1374">
            <v>0.16205465680827372</v>
          </cell>
          <cell r="G1374">
            <v>0.57573129334162065</v>
          </cell>
          <cell r="H1374">
            <v>2.7E-2</v>
          </cell>
          <cell r="I1374">
            <v>2.6849999999999999E-2</v>
          </cell>
          <cell r="J1374">
            <v>8.9633945290123793E-2</v>
          </cell>
          <cell r="K1374">
            <v>0</v>
          </cell>
          <cell r="L1374">
            <v>0.11648394529012379</v>
          </cell>
          <cell r="M1374">
            <v>1.135</v>
          </cell>
          <cell r="N1374">
            <v>0</v>
          </cell>
          <cell r="O1374">
            <v>1.135</v>
          </cell>
          <cell r="P1374">
            <v>0</v>
          </cell>
          <cell r="Q1374">
            <v>0</v>
          </cell>
          <cell r="R1374">
            <v>0</v>
          </cell>
          <cell r="S1374">
            <v>0</v>
          </cell>
          <cell r="T1374">
            <v>0</v>
          </cell>
          <cell r="U1374">
            <v>0.20099999999999998</v>
          </cell>
          <cell r="V1374">
            <v>2.0552152386317446</v>
          </cell>
        </row>
        <row r="1375">
          <cell r="D1375" t="str">
            <v>PAKISTAN-Total - Salaries, Wage and Benefits, M$</v>
          </cell>
          <cell r="E1375">
            <v>0.12871967270611703</v>
          </cell>
          <cell r="F1375">
            <v>3.5650458776595742E-2</v>
          </cell>
          <cell r="G1375">
            <v>0.16437013148271279</v>
          </cell>
          <cell r="H1375">
            <v>2.3E-2</v>
          </cell>
          <cell r="I1375">
            <v>3.3999999999999998E-3</v>
          </cell>
          <cell r="J1375">
            <v>4.3241486037234045E-2</v>
          </cell>
          <cell r="K1375">
            <v>0</v>
          </cell>
          <cell r="L1375">
            <v>4.6641486037234045E-2</v>
          </cell>
          <cell r="M1375">
            <v>0.28900000000000003</v>
          </cell>
          <cell r="N1375">
            <v>0</v>
          </cell>
          <cell r="O1375">
            <v>0.28900000000000003</v>
          </cell>
          <cell r="P1375">
            <v>0</v>
          </cell>
          <cell r="Q1375">
            <v>0</v>
          </cell>
          <cell r="R1375">
            <v>0</v>
          </cell>
          <cell r="S1375">
            <v>0</v>
          </cell>
          <cell r="T1375">
            <v>0</v>
          </cell>
          <cell r="U1375">
            <v>0.14899999999999999</v>
          </cell>
          <cell r="V1375">
            <v>0.67201161751994687</v>
          </cell>
        </row>
        <row r="1376">
          <cell r="D1376" t="str">
            <v>PAKISTAN-Total - XOM Employee SWB, M$</v>
          </cell>
          <cell r="E1376">
            <v>8.501469747340426E-2</v>
          </cell>
          <cell r="F1376">
            <v>3.5650458776595742E-2</v>
          </cell>
          <cell r="G1376">
            <v>0.12066515625</v>
          </cell>
          <cell r="H1376">
            <v>2.3E-2</v>
          </cell>
          <cell r="I1376">
            <v>3.3999999999999998E-3</v>
          </cell>
          <cell r="J1376">
            <v>4.3052091090425536E-2</v>
          </cell>
          <cell r="K1376">
            <v>0</v>
          </cell>
          <cell r="L1376">
            <v>4.6452091090425536E-2</v>
          </cell>
          <cell r="M1376">
            <v>0.28200000000000003</v>
          </cell>
          <cell r="N1376">
            <v>0</v>
          </cell>
          <cell r="O1376">
            <v>0.28200000000000003</v>
          </cell>
          <cell r="P1376">
            <v>0</v>
          </cell>
          <cell r="Q1376">
            <v>0</v>
          </cell>
          <cell r="R1376">
            <v>0</v>
          </cell>
          <cell r="S1376">
            <v>0</v>
          </cell>
          <cell r="T1376">
            <v>0</v>
          </cell>
          <cell r="U1376">
            <v>0.14899999999999999</v>
          </cell>
          <cell r="V1376">
            <v>0.62111724734042562</v>
          </cell>
        </row>
        <row r="1377">
          <cell r="D1377" t="str">
            <v>PAKISTAN-Total - Contract Employee SWB, M$</v>
          </cell>
          <cell r="E1377">
            <v>4.3704975232712773E-2</v>
          </cell>
          <cell r="F1377">
            <v>0</v>
          </cell>
          <cell r="G1377">
            <v>4.3704975232712773E-2</v>
          </cell>
          <cell r="H1377">
            <v>0</v>
          </cell>
          <cell r="I1377">
            <v>0</v>
          </cell>
          <cell r="J1377">
            <v>1.8939494680851065E-4</v>
          </cell>
          <cell r="K1377">
            <v>0</v>
          </cell>
          <cell r="L1377">
            <v>1.8939494680851065E-4</v>
          </cell>
          <cell r="M1377">
            <v>7.0000000000000001E-3</v>
          </cell>
          <cell r="N1377">
            <v>0</v>
          </cell>
          <cell r="O1377">
            <v>7.0000000000000001E-3</v>
          </cell>
          <cell r="P1377">
            <v>0</v>
          </cell>
          <cell r="Q1377">
            <v>0</v>
          </cell>
          <cell r="R1377">
            <v>0</v>
          </cell>
          <cell r="S1377">
            <v>0</v>
          </cell>
          <cell r="T1377">
            <v>0</v>
          </cell>
          <cell r="U1377">
            <v>0</v>
          </cell>
          <cell r="V1377">
            <v>5.0894370179521281E-2</v>
          </cell>
        </row>
        <row r="1378">
          <cell r="D1378" t="str">
            <v>PAKISTAN-Total - Employee Expenses (T&amp;E), M$</v>
          </cell>
          <cell r="E1378">
            <v>4.5113525598404255E-3</v>
          </cell>
          <cell r="F1378">
            <v>6.7657527321352412E-3</v>
          </cell>
          <cell r="G1378">
            <v>1.1277105291975667E-2</v>
          </cell>
          <cell r="H1378">
            <v>0</v>
          </cell>
          <cell r="I1378">
            <v>1.3500000000000001E-3</v>
          </cell>
          <cell r="J1378">
            <v>0</v>
          </cell>
          <cell r="K1378">
            <v>0</v>
          </cell>
          <cell r="L1378">
            <v>1.3500000000000001E-3</v>
          </cell>
          <cell r="M1378">
            <v>8.2000000000000003E-2</v>
          </cell>
          <cell r="N1378">
            <v>0</v>
          </cell>
          <cell r="O1378">
            <v>8.2000000000000003E-2</v>
          </cell>
          <cell r="P1378">
            <v>0</v>
          </cell>
          <cell r="Q1378">
            <v>0</v>
          </cell>
          <cell r="R1378">
            <v>0</v>
          </cell>
          <cell r="S1378">
            <v>0</v>
          </cell>
          <cell r="T1378">
            <v>0</v>
          </cell>
          <cell r="U1378">
            <v>3.2000000000000001E-2</v>
          </cell>
          <cell r="V1378">
            <v>0.12662710529197568</v>
          </cell>
        </row>
        <row r="1379">
          <cell r="D1379" t="str">
            <v>PAKISTAN-Total - Training Expenses, M$</v>
          </cell>
          <cell r="E1379">
            <v>5.6256261635638299E-3</v>
          </cell>
          <cell r="F1379">
            <v>6.7657527321352412E-3</v>
          </cell>
          <cell r="G1379">
            <v>1.2391378895699072E-2</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1.2391378895699072E-2</v>
          </cell>
        </row>
        <row r="1380">
          <cell r="D1380" t="str">
            <v>PAKISTAN-Total - Consultancy/Professional Fees, M$</v>
          </cell>
          <cell r="E1380">
            <v>8.1166256648936171E-4</v>
          </cell>
          <cell r="F1380">
            <v>0</v>
          </cell>
          <cell r="G1380">
            <v>8.1166256648936171E-4</v>
          </cell>
          <cell r="H1380">
            <v>0</v>
          </cell>
          <cell r="I1380">
            <v>1.9699999999999999E-2</v>
          </cell>
          <cell r="J1380">
            <v>0</v>
          </cell>
          <cell r="K1380">
            <v>0</v>
          </cell>
          <cell r="L1380">
            <v>1.9699999999999999E-2</v>
          </cell>
          <cell r="M1380">
            <v>3.0000000000000001E-3</v>
          </cell>
          <cell r="N1380">
            <v>0</v>
          </cell>
          <cell r="O1380">
            <v>3.0000000000000001E-3</v>
          </cell>
          <cell r="P1380">
            <v>0</v>
          </cell>
          <cell r="Q1380">
            <v>0</v>
          </cell>
          <cell r="R1380">
            <v>0</v>
          </cell>
          <cell r="S1380">
            <v>0</v>
          </cell>
          <cell r="T1380">
            <v>0</v>
          </cell>
          <cell r="U1380">
            <v>1E-3</v>
          </cell>
          <cell r="V1380">
            <v>2.4511662566489359E-2</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3.9896716589095743E-2</v>
          </cell>
          <cell r="F1382">
            <v>0</v>
          </cell>
          <cell r="G1382">
            <v>3.9896716589095743E-2</v>
          </cell>
          <cell r="H1382">
            <v>0</v>
          </cell>
          <cell r="I1382">
            <v>0</v>
          </cell>
          <cell r="J1382">
            <v>0</v>
          </cell>
          <cell r="K1382">
            <v>0</v>
          </cell>
          <cell r="L1382">
            <v>0</v>
          </cell>
          <cell r="M1382">
            <v>1.4E-2</v>
          </cell>
          <cell r="N1382">
            <v>0</v>
          </cell>
          <cell r="O1382">
            <v>1.4E-2</v>
          </cell>
          <cell r="P1382">
            <v>0</v>
          </cell>
          <cell r="Q1382">
            <v>0</v>
          </cell>
          <cell r="R1382">
            <v>0</v>
          </cell>
          <cell r="S1382">
            <v>0</v>
          </cell>
          <cell r="T1382">
            <v>0</v>
          </cell>
          <cell r="U1382">
            <v>0</v>
          </cell>
          <cell r="V1382">
            <v>5.3896716589095742E-2</v>
          </cell>
        </row>
        <row r="1383">
          <cell r="D1383" t="str">
            <v>PAKISTAN-Depreciation, M$</v>
          </cell>
          <cell r="E1383">
            <v>0.10292426861702128</v>
          </cell>
          <cell r="F1383">
            <v>0</v>
          </cell>
          <cell r="G1383">
            <v>0.10292426861702128</v>
          </cell>
          <cell r="H1383">
            <v>0</v>
          </cell>
          <cell r="I1383">
            <v>0</v>
          </cell>
          <cell r="J1383">
            <v>1.7975731382978727E-2</v>
          </cell>
          <cell r="K1383">
            <v>0</v>
          </cell>
          <cell r="L1383">
            <v>1.7975731382978727E-2</v>
          </cell>
          <cell r="M1383">
            <v>0.191</v>
          </cell>
          <cell r="N1383">
            <v>0</v>
          </cell>
          <cell r="O1383">
            <v>0.191</v>
          </cell>
          <cell r="P1383">
            <v>0</v>
          </cell>
          <cell r="Q1383">
            <v>0</v>
          </cell>
          <cell r="R1383">
            <v>0</v>
          </cell>
          <cell r="S1383">
            <v>0</v>
          </cell>
          <cell r="T1383">
            <v>0</v>
          </cell>
          <cell r="U1383">
            <v>0</v>
          </cell>
          <cell r="V1383">
            <v>0.31190000000000001</v>
          </cell>
        </row>
        <row r="1384">
          <cell r="D1384" t="str">
            <v>PAKISTAN-Energy, M$</v>
          </cell>
          <cell r="E1384">
            <v>3.8509884973404254E-2</v>
          </cell>
          <cell r="F1384">
            <v>0</v>
          </cell>
          <cell r="G1384">
            <v>3.8509884973404254E-2</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3.8509884973404254E-2</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0.11287269256740749</v>
          </cell>
          <cell r="G1386">
            <v>0.11287269256740749</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0.11287269256740749</v>
          </cell>
        </row>
        <row r="1387">
          <cell r="D1387" t="str">
            <v>PAKISTAN-Other Direct OPEX, M$</v>
          </cell>
          <cell r="E1387">
            <v>9.2677452357815035E-2</v>
          </cell>
          <cell r="F1387">
            <v>0</v>
          </cell>
          <cell r="G1387">
            <v>9.2677452357815035E-2</v>
          </cell>
          <cell r="H1387">
            <v>4.0000000000000001E-3</v>
          </cell>
          <cell r="I1387">
            <v>2.3999999999999998E-3</v>
          </cell>
          <cell r="J1387">
            <v>2.8416727869911017E-2</v>
          </cell>
          <cell r="K1387">
            <v>0</v>
          </cell>
          <cell r="L1387">
            <v>3.0816727869911017E-2</v>
          </cell>
          <cell r="M1387">
            <v>0.25600000000000001</v>
          </cell>
          <cell r="N1387">
            <v>0</v>
          </cell>
          <cell r="O1387">
            <v>0.25600000000000001</v>
          </cell>
          <cell r="P1387">
            <v>0</v>
          </cell>
          <cell r="Q1387">
            <v>0</v>
          </cell>
          <cell r="R1387">
            <v>0</v>
          </cell>
          <cell r="S1387">
            <v>0</v>
          </cell>
          <cell r="T1387">
            <v>0</v>
          </cell>
          <cell r="U1387">
            <v>1.9E-2</v>
          </cell>
          <cell r="V1387">
            <v>0.40249418022772609</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0.33931758499999998</v>
          </cell>
          <cell r="F1392">
            <v>3.2673160000000007E-2</v>
          </cell>
          <cell r="G1392">
            <v>0.37199074499999996</v>
          </cell>
          <cell r="H1392">
            <v>0</v>
          </cell>
          <cell r="I1392">
            <v>0</v>
          </cell>
          <cell r="J1392">
            <v>2.7463200000000004E-2</v>
          </cell>
          <cell r="K1392">
            <v>0</v>
          </cell>
          <cell r="L1392">
            <v>2.7463200000000004E-2</v>
          </cell>
          <cell r="M1392">
            <v>0.54800000000000004</v>
          </cell>
          <cell r="N1392">
            <v>9.6578999999999998E-2</v>
          </cell>
          <cell r="O1392">
            <v>0.64457900000000001</v>
          </cell>
          <cell r="P1392">
            <v>0.21</v>
          </cell>
          <cell r="Q1392">
            <v>0</v>
          </cell>
          <cell r="R1392">
            <v>0.04</v>
          </cell>
          <cell r="S1392">
            <v>0</v>
          </cell>
          <cell r="T1392">
            <v>0.04</v>
          </cell>
          <cell r="U1392">
            <v>0.1380289999999999</v>
          </cell>
          <cell r="V1392">
            <v>1.4320619450000003</v>
          </cell>
        </row>
        <row r="1393">
          <cell r="D1393" t="str">
            <v>PHILIPPINES-Total - Salaries, Wage and Benefits, M$</v>
          </cell>
          <cell r="E1393">
            <v>0.13943159999999996</v>
          </cell>
          <cell r="F1393">
            <v>3.2673160000000007E-2</v>
          </cell>
          <cell r="G1393">
            <v>0.17210475999999997</v>
          </cell>
          <cell r="H1393">
            <v>0</v>
          </cell>
          <cell r="I1393">
            <v>0</v>
          </cell>
          <cell r="J1393">
            <v>2.0904780000000001E-2</v>
          </cell>
          <cell r="K1393">
            <v>0</v>
          </cell>
          <cell r="L1393">
            <v>2.0904780000000001E-2</v>
          </cell>
          <cell r="M1393">
            <v>6.4000000000000001E-2</v>
          </cell>
          <cell r="N1393">
            <v>3.4456000000000001E-2</v>
          </cell>
          <cell r="O1393">
            <v>9.8456000000000002E-2</v>
          </cell>
          <cell r="P1393">
            <v>3.2000000000000001E-2</v>
          </cell>
          <cell r="Q1393">
            <v>0</v>
          </cell>
          <cell r="R1393">
            <v>0.02</v>
          </cell>
          <cell r="S1393">
            <v>0</v>
          </cell>
          <cell r="T1393">
            <v>0.02</v>
          </cell>
          <cell r="U1393">
            <v>0.15</v>
          </cell>
          <cell r="V1393">
            <v>0.49346554000000004</v>
          </cell>
        </row>
        <row r="1394">
          <cell r="D1394" t="str">
            <v>PHILIPPINES-Total - XOM Employee SWB, M$</v>
          </cell>
          <cell r="E1394">
            <v>9.6659999999999968E-2</v>
          </cell>
          <cell r="F1394">
            <v>3.0769980000000006E-2</v>
          </cell>
          <cell r="G1394">
            <v>0.12742997999999997</v>
          </cell>
          <cell r="H1394">
            <v>0</v>
          </cell>
          <cell r="I1394">
            <v>0</v>
          </cell>
          <cell r="J1394">
            <v>1.7740000000000002E-2</v>
          </cell>
          <cell r="K1394">
            <v>0</v>
          </cell>
          <cell r="L1394">
            <v>1.7740000000000002E-2</v>
          </cell>
          <cell r="M1394">
            <v>6.4000000000000001E-2</v>
          </cell>
          <cell r="N1394">
            <v>3.3056000000000002E-2</v>
          </cell>
          <cell r="O1394">
            <v>9.7056000000000003E-2</v>
          </cell>
          <cell r="P1394">
            <v>3.2000000000000001E-2</v>
          </cell>
          <cell r="Q1394">
            <v>0</v>
          </cell>
          <cell r="R1394">
            <v>0.02</v>
          </cell>
          <cell r="S1394">
            <v>0</v>
          </cell>
          <cell r="T1394">
            <v>0.02</v>
          </cell>
          <cell r="U1394">
            <v>0.15</v>
          </cell>
          <cell r="V1394">
            <v>0.44422598000000002</v>
          </cell>
        </row>
        <row r="1395">
          <cell r="D1395" t="str">
            <v>PHILIPPINES-Total - Contract Employee SWB, M$</v>
          </cell>
          <cell r="E1395">
            <v>4.27716E-2</v>
          </cell>
          <cell r="F1395">
            <v>1.9031800000000002E-3</v>
          </cell>
          <cell r="G1395">
            <v>4.4674779999999997E-2</v>
          </cell>
          <cell r="H1395">
            <v>0</v>
          </cell>
          <cell r="I1395">
            <v>0</v>
          </cell>
          <cell r="J1395">
            <v>3.1647799999999999E-3</v>
          </cell>
          <cell r="K1395">
            <v>0</v>
          </cell>
          <cell r="L1395">
            <v>3.1647799999999999E-3</v>
          </cell>
          <cell r="M1395">
            <v>0</v>
          </cell>
          <cell r="N1395">
            <v>1.4E-3</v>
          </cell>
          <cell r="O1395">
            <v>1.4E-3</v>
          </cell>
          <cell r="P1395">
            <v>0</v>
          </cell>
          <cell r="Q1395">
            <v>0</v>
          </cell>
          <cell r="R1395">
            <v>0</v>
          </cell>
          <cell r="S1395">
            <v>0</v>
          </cell>
          <cell r="T1395">
            <v>0</v>
          </cell>
          <cell r="U1395">
            <v>0</v>
          </cell>
          <cell r="V1395">
            <v>4.9239559999999995E-2</v>
          </cell>
        </row>
        <row r="1396">
          <cell r="D1396" t="str">
            <v>PHILIPPINES-Total - Employee Expenses (T&amp;E), M$</v>
          </cell>
          <cell r="E1396">
            <v>4.3018400000000004E-3</v>
          </cell>
          <cell r="F1396">
            <v>0</v>
          </cell>
          <cell r="G1396">
            <v>4.3018400000000004E-3</v>
          </cell>
          <cell r="H1396">
            <v>0</v>
          </cell>
          <cell r="I1396">
            <v>0</v>
          </cell>
          <cell r="J1396">
            <v>0</v>
          </cell>
          <cell r="K1396">
            <v>0</v>
          </cell>
          <cell r="L1396">
            <v>0</v>
          </cell>
          <cell r="M1396">
            <v>8.5000000000000006E-2</v>
          </cell>
          <cell r="N1396">
            <v>3.1274000000000003E-2</v>
          </cell>
          <cell r="O1396">
            <v>0.11627400000000002</v>
          </cell>
          <cell r="P1396">
            <v>1.4E-2</v>
          </cell>
          <cell r="Q1396">
            <v>0</v>
          </cell>
          <cell r="R1396">
            <v>6.0000000000000001E-3</v>
          </cell>
          <cell r="S1396">
            <v>0</v>
          </cell>
          <cell r="T1396">
            <v>6.0000000000000001E-3</v>
          </cell>
          <cell r="U1396">
            <v>1.4999999999999999E-2</v>
          </cell>
          <cell r="V1396">
            <v>0.15557584000000002</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1.923E-3</v>
          </cell>
          <cell r="O1397">
            <v>1.923E-3</v>
          </cell>
          <cell r="P1397">
            <v>0</v>
          </cell>
          <cell r="Q1397">
            <v>0</v>
          </cell>
          <cell r="R1397">
            <v>5.0000000000000001E-3</v>
          </cell>
          <cell r="S1397">
            <v>0</v>
          </cell>
          <cell r="T1397">
            <v>5.0000000000000001E-3</v>
          </cell>
          <cell r="U1397">
            <v>0</v>
          </cell>
          <cell r="V1397">
            <v>6.9230000000000003E-3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8.0000000000000002E-3</v>
          </cell>
          <cell r="O1398">
            <v>8.0000000000000002E-3</v>
          </cell>
          <cell r="P1398">
            <v>0.16400000000000001</v>
          </cell>
          <cell r="Q1398">
            <v>0</v>
          </cell>
          <cell r="R1398">
            <v>2E-3</v>
          </cell>
          <cell r="S1398">
            <v>0</v>
          </cell>
          <cell r="T1398">
            <v>2E-3</v>
          </cell>
          <cell r="U1398">
            <v>0</v>
          </cell>
          <cell r="V1398">
            <v>0.17400000000000002</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2.8171500000000002E-2</v>
          </cell>
          <cell r="F1400">
            <v>0</v>
          </cell>
          <cell r="G1400">
            <v>2.8171500000000002E-2</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2.8171500000000002E-2</v>
          </cell>
        </row>
        <row r="1401">
          <cell r="D1401" t="str">
            <v>PHILIPPINES-Depreciation, M$</v>
          </cell>
          <cell r="E1401">
            <v>7.8397865000000011E-2</v>
          </cell>
          <cell r="F1401">
            <v>0</v>
          </cell>
          <cell r="G1401">
            <v>7.8397865000000011E-2</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0.22839786500000001</v>
          </cell>
        </row>
        <row r="1402">
          <cell r="D1402" t="str">
            <v>PHILIPPINES-Energy, M$</v>
          </cell>
          <cell r="E1402">
            <v>1.4882880000000001E-2</v>
          </cell>
          <cell r="F1402">
            <v>0</v>
          </cell>
          <cell r="G1402">
            <v>1.4882880000000001E-2</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1.4882880000000001E-2</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7.4131900000000001E-2</v>
          </cell>
          <cell r="F1405">
            <v>0</v>
          </cell>
          <cell r="G1405">
            <v>7.4131900000000001E-2</v>
          </cell>
          <cell r="H1405">
            <v>0</v>
          </cell>
          <cell r="I1405">
            <v>0</v>
          </cell>
          <cell r="J1405">
            <v>6.5584200000000014E-3</v>
          </cell>
          <cell r="K1405">
            <v>0</v>
          </cell>
          <cell r="L1405">
            <v>6.5584200000000014E-3</v>
          </cell>
          <cell r="M1405">
            <v>0</v>
          </cell>
          <cell r="N1405">
            <v>2.0926E-2</v>
          </cell>
          <cell r="O1405">
            <v>2.0926E-2</v>
          </cell>
          <cell r="P1405">
            <v>0</v>
          </cell>
          <cell r="Q1405">
            <v>0</v>
          </cell>
          <cell r="R1405">
            <v>7.0000000000000001E-3</v>
          </cell>
          <cell r="S1405">
            <v>0</v>
          </cell>
          <cell r="T1405">
            <v>7.0000000000000001E-3</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-2.6971000000000078E-2</v>
          </cell>
          <cell r="V1406">
            <v>-2.6971000000000078E-2</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7.8043044549999978</v>
          </cell>
          <cell r="F1410">
            <v>1.0962867979265696</v>
          </cell>
          <cell r="G1410">
            <v>8.9005912529265672</v>
          </cell>
          <cell r="H1410">
            <v>0.56100000000000005</v>
          </cell>
          <cell r="I1410">
            <v>0</v>
          </cell>
          <cell r="J1410">
            <v>0.63165359999999993</v>
          </cell>
          <cell r="K1410">
            <v>0</v>
          </cell>
          <cell r="L1410">
            <v>0.63165359999999993</v>
          </cell>
          <cell r="M1410">
            <v>4.3472776999999994</v>
          </cell>
          <cell r="N1410">
            <v>1.2266699999999999</v>
          </cell>
          <cell r="O1410">
            <v>5.5739476999999988</v>
          </cell>
          <cell r="P1410">
            <v>7.5569999999999998E-2</v>
          </cell>
          <cell r="Q1410">
            <v>0</v>
          </cell>
          <cell r="R1410">
            <v>0.30499999999999999</v>
          </cell>
          <cell r="S1410">
            <v>1.9079999999999999</v>
          </cell>
          <cell r="T1410">
            <v>2.2130000000000001</v>
          </cell>
          <cell r="U1410">
            <v>-2.0342537300000028</v>
          </cell>
          <cell r="V1410">
            <v>15.921508822926564</v>
          </cell>
        </row>
        <row r="1411">
          <cell r="D1411" t="str">
            <v>SINGAPORE-Total - Salaries, Wage and Benefits, M$</v>
          </cell>
          <cell r="E1411">
            <v>3.2069267999999989</v>
          </cell>
          <cell r="F1411">
            <v>0.75148267999999996</v>
          </cell>
          <cell r="G1411">
            <v>3.9584094799999989</v>
          </cell>
          <cell r="H1411">
            <v>0.32</v>
          </cell>
          <cell r="I1411">
            <v>0</v>
          </cell>
          <cell r="J1411">
            <v>0.48080993999999999</v>
          </cell>
          <cell r="K1411">
            <v>0</v>
          </cell>
          <cell r="L1411">
            <v>0.48080993999999999</v>
          </cell>
          <cell r="M1411">
            <v>0.90272088999999989</v>
          </cell>
          <cell r="N1411">
            <v>0.83367000000000002</v>
          </cell>
          <cell r="O1411">
            <v>1.73639089</v>
          </cell>
          <cell r="P1411">
            <v>5.1270000000000003E-2</v>
          </cell>
          <cell r="Q1411">
            <v>0</v>
          </cell>
          <cell r="R1411">
            <v>0.14900000000000002</v>
          </cell>
          <cell r="S1411">
            <v>0.83</v>
          </cell>
          <cell r="T1411">
            <v>0.97899999999999998</v>
          </cell>
          <cell r="U1411">
            <v>0.26336722000000001</v>
          </cell>
          <cell r="V1411">
            <v>7.7892475299999973</v>
          </cell>
        </row>
        <row r="1412">
          <cell r="D1412" t="str">
            <v>SINGAPORE-Total - XOM Employee SWB, M$</v>
          </cell>
          <cell r="E1412">
            <v>2.2231799999999988</v>
          </cell>
          <cell r="F1412">
            <v>0.70770953999999997</v>
          </cell>
          <cell r="G1412">
            <v>2.930889539999999</v>
          </cell>
          <cell r="H1412">
            <v>0.221</v>
          </cell>
          <cell r="I1412">
            <v>0</v>
          </cell>
          <cell r="J1412">
            <v>0.40801999999999999</v>
          </cell>
          <cell r="K1412">
            <v>0</v>
          </cell>
          <cell r="L1412">
            <v>0.40801999999999999</v>
          </cell>
          <cell r="M1412">
            <v>0.86768088999999993</v>
          </cell>
          <cell r="N1412">
            <v>0.81267</v>
          </cell>
          <cell r="O1412">
            <v>1.6803508899999999</v>
          </cell>
          <cell r="P1412">
            <v>5.1270000000000003E-2</v>
          </cell>
          <cell r="Q1412">
            <v>0</v>
          </cell>
          <cell r="R1412">
            <v>0.14800000000000002</v>
          </cell>
          <cell r="S1412">
            <v>0.6</v>
          </cell>
          <cell r="T1412">
            <v>0.748</v>
          </cell>
          <cell r="U1412">
            <v>0.22001967</v>
          </cell>
          <cell r="V1412">
            <v>6.2595500999999976</v>
          </cell>
        </row>
        <row r="1413">
          <cell r="D1413" t="str">
            <v>SINGAPORE-Total - Contract Employee SWB, M$</v>
          </cell>
          <cell r="E1413">
            <v>0.98374679999999981</v>
          </cell>
          <cell r="F1413">
            <v>4.3773139999999995E-2</v>
          </cell>
          <cell r="G1413">
            <v>1.0275199399999999</v>
          </cell>
          <cell r="H1413">
            <v>9.9000000000000005E-2</v>
          </cell>
          <cell r="I1413">
            <v>0</v>
          </cell>
          <cell r="J1413">
            <v>7.2789939999999984E-2</v>
          </cell>
          <cell r="K1413">
            <v>0</v>
          </cell>
          <cell r="L1413">
            <v>7.2789939999999984E-2</v>
          </cell>
          <cell r="M1413">
            <v>3.5040000000000002E-2</v>
          </cell>
          <cell r="N1413">
            <v>2.0999999999999998E-2</v>
          </cell>
          <cell r="O1413">
            <v>5.604E-2</v>
          </cell>
          <cell r="P1413">
            <v>0</v>
          </cell>
          <cell r="Q1413">
            <v>0</v>
          </cell>
          <cell r="R1413">
            <v>1E-3</v>
          </cell>
          <cell r="S1413">
            <v>0.23</v>
          </cell>
          <cell r="T1413">
            <v>0.23100000000000001</v>
          </cell>
          <cell r="U1413">
            <v>4.3347549999999999E-2</v>
          </cell>
          <cell r="V1413">
            <v>1.5296974299999997</v>
          </cell>
        </row>
        <row r="1414">
          <cell r="D1414" t="str">
            <v>SINGAPORE-Total - Employee Expenses (T&amp;E), M$</v>
          </cell>
          <cell r="E1414">
            <v>9.894232E-2</v>
          </cell>
          <cell r="F1414">
            <v>0</v>
          </cell>
          <cell r="G1414">
            <v>9.894232E-2</v>
          </cell>
          <cell r="H1414">
            <v>1.0999999999999999E-2</v>
          </cell>
          <cell r="I1414">
            <v>0</v>
          </cell>
          <cell r="J1414">
            <v>0</v>
          </cell>
          <cell r="K1414">
            <v>0</v>
          </cell>
          <cell r="L1414">
            <v>0</v>
          </cell>
          <cell r="M1414">
            <v>0.24344779</v>
          </cell>
          <cell r="N1414">
            <v>0.192</v>
          </cell>
          <cell r="O1414">
            <v>0.43544779</v>
          </cell>
          <cell r="P1414">
            <v>2.4299999999999999E-2</v>
          </cell>
          <cell r="Q1414">
            <v>0</v>
          </cell>
          <cell r="R1414">
            <v>1.4999999999999999E-2</v>
          </cell>
          <cell r="S1414">
            <v>0.13500000000000001</v>
          </cell>
          <cell r="T1414">
            <v>0.15</v>
          </cell>
          <cell r="U1414">
            <v>1.195805E-2</v>
          </cell>
          <cell r="V1414">
            <v>0.7316481600000001</v>
          </cell>
        </row>
        <row r="1415">
          <cell r="D1415" t="str">
            <v>SINGAPORE-Total - Training Expenses, M$</v>
          </cell>
          <cell r="E1415">
            <v>0</v>
          </cell>
          <cell r="F1415">
            <v>0</v>
          </cell>
          <cell r="G1415">
            <v>0</v>
          </cell>
          <cell r="H1415">
            <v>3.0000000000000001E-3</v>
          </cell>
          <cell r="I1415">
            <v>0</v>
          </cell>
          <cell r="J1415">
            <v>0</v>
          </cell>
          <cell r="K1415">
            <v>0</v>
          </cell>
          <cell r="L1415">
            <v>0</v>
          </cell>
          <cell r="M1415">
            <v>6.0900000000000003E-2</v>
          </cell>
          <cell r="N1415">
            <v>1.4999999999999999E-2</v>
          </cell>
          <cell r="O1415">
            <v>7.5899999999999995E-2</v>
          </cell>
          <cell r="P1415">
            <v>0</v>
          </cell>
          <cell r="Q1415">
            <v>0</v>
          </cell>
          <cell r="R1415">
            <v>1.4999999999999999E-2</v>
          </cell>
          <cell r="S1415">
            <v>0.01</v>
          </cell>
          <cell r="T1415">
            <v>2.5000000000000001E-2</v>
          </cell>
          <cell r="U1415">
            <v>3.0000000000000001E-3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2.5000000000000001E-2</v>
          </cell>
          <cell r="O1416">
            <v>2.5000000000000001E-2</v>
          </cell>
          <cell r="P1416">
            <v>0</v>
          </cell>
          <cell r="Q1416">
            <v>0</v>
          </cell>
          <cell r="R1416">
            <v>0</v>
          </cell>
          <cell r="S1416">
            <v>0</v>
          </cell>
          <cell r="T1416">
            <v>0</v>
          </cell>
          <cell r="U1416">
            <v>0</v>
          </cell>
          <cell r="V1416">
            <v>2.5000000000000001E-2</v>
          </cell>
        </row>
        <row r="1417">
          <cell r="D1417" t="str">
            <v>SINGAPORE-Advertising and Promotions, M$</v>
          </cell>
          <cell r="E1417">
            <v>0</v>
          </cell>
          <cell r="F1417">
            <v>0</v>
          </cell>
          <cell r="G1417">
            <v>0</v>
          </cell>
          <cell r="H1417">
            <v>0</v>
          </cell>
          <cell r="I1417">
            <v>0</v>
          </cell>
          <cell r="J1417">
            <v>0</v>
          </cell>
          <cell r="K1417">
            <v>0</v>
          </cell>
          <cell r="L1417">
            <v>0</v>
          </cell>
          <cell r="M1417">
            <v>0.73899999999999999</v>
          </cell>
          <cell r="N1417">
            <v>0</v>
          </cell>
          <cell r="O1417">
            <v>0.73899999999999999</v>
          </cell>
          <cell r="P1417">
            <v>0</v>
          </cell>
          <cell r="Q1417">
            <v>0</v>
          </cell>
          <cell r="R1417">
            <v>0.10200000000000001</v>
          </cell>
          <cell r="S1417">
            <v>0.11</v>
          </cell>
          <cell r="T1417">
            <v>0.21200000000000002</v>
          </cell>
          <cell r="U1417">
            <v>0</v>
          </cell>
          <cell r="V1417">
            <v>0.95099999999999996</v>
          </cell>
        </row>
        <row r="1418">
          <cell r="D1418" t="str">
            <v>SINGAPORE-Maintenance and Repairs, M$</v>
          </cell>
          <cell r="E1418">
            <v>0.64794449999999992</v>
          </cell>
          <cell r="F1418">
            <v>0</v>
          </cell>
          <cell r="G1418">
            <v>0.64794449999999992</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0.79034449999999989</v>
          </cell>
        </row>
        <row r="1419">
          <cell r="D1419" t="str">
            <v>SINGAPORE-Depreciation, M$</v>
          </cell>
          <cell r="E1419">
            <v>1.8031508949999999</v>
          </cell>
          <cell r="F1419">
            <v>0</v>
          </cell>
          <cell r="G1419">
            <v>1.8031508949999999</v>
          </cell>
          <cell r="H1419">
            <v>0</v>
          </cell>
          <cell r="I1419">
            <v>0</v>
          </cell>
          <cell r="J1419">
            <v>0</v>
          </cell>
          <cell r="K1419">
            <v>0</v>
          </cell>
          <cell r="L1419">
            <v>0</v>
          </cell>
          <cell r="M1419">
            <v>1.1875144599999998</v>
          </cell>
          <cell r="N1419">
            <v>0</v>
          </cell>
          <cell r="O1419">
            <v>1.1875144599999998</v>
          </cell>
          <cell r="P1419">
            <v>0</v>
          </cell>
          <cell r="Q1419">
            <v>0</v>
          </cell>
          <cell r="R1419">
            <v>1E-3</v>
          </cell>
          <cell r="S1419">
            <v>5.0000000000000001E-3</v>
          </cell>
          <cell r="T1419">
            <v>6.0000000000000001E-3</v>
          </cell>
          <cell r="U1419">
            <v>0</v>
          </cell>
          <cell r="V1419">
            <v>2.9966653549999998</v>
          </cell>
        </row>
        <row r="1420">
          <cell r="D1420" t="str">
            <v>SINGAPORE-Energy, M$</v>
          </cell>
          <cell r="E1420">
            <v>0.34230623999999998</v>
          </cell>
          <cell r="F1420">
            <v>0</v>
          </cell>
          <cell r="G1420">
            <v>0.34230623999999998</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0.34230623999999998</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0.30414838990586918</v>
          </cell>
          <cell r="G1422">
            <v>0.30414838990586918</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0.30414838990586918</v>
          </cell>
        </row>
        <row r="1423">
          <cell r="D1423" t="str">
            <v>SINGAPORE-Other Direct OPEX, M$</v>
          </cell>
          <cell r="E1423">
            <v>1.7050336999999995</v>
          </cell>
          <cell r="F1423">
            <v>4.0655728020700499E-2</v>
          </cell>
          <cell r="G1423">
            <v>1.7456894280207</v>
          </cell>
          <cell r="H1423">
            <v>0.22700000000000001</v>
          </cell>
          <cell r="I1423">
            <v>0</v>
          </cell>
          <cell r="J1423">
            <v>0.15084365999999999</v>
          </cell>
          <cell r="K1423">
            <v>0</v>
          </cell>
          <cell r="L1423">
            <v>0.15084365999999999</v>
          </cell>
          <cell r="M1423">
            <v>1.0712945599999999</v>
          </cell>
          <cell r="N1423">
            <v>0.161</v>
          </cell>
          <cell r="O1423">
            <v>1.2322945599999999</v>
          </cell>
          <cell r="P1423">
            <v>0</v>
          </cell>
          <cell r="Q1423">
            <v>0</v>
          </cell>
          <cell r="R1423">
            <v>2.3E-2</v>
          </cell>
          <cell r="S1423">
            <v>0.81799999999999995</v>
          </cell>
          <cell r="T1423">
            <v>0.84099999999999997</v>
          </cell>
          <cell r="U1423">
            <v>2.7515350000000001E-2</v>
          </cell>
          <cell r="V1423">
            <v>4.2243429980206999</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-2.3400943500000029</v>
          </cell>
          <cell r="V1424">
            <v>-2.3400943500000029</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2.2343183779119928</v>
          </cell>
          <cell r="F1428">
            <v>1.4273224043715844</v>
          </cell>
          <cell r="G1428">
            <v>3.6616407822835773</v>
          </cell>
          <cell r="H1428">
            <v>0.34460000000000002</v>
          </cell>
          <cell r="I1428">
            <v>0</v>
          </cell>
          <cell r="J1428">
            <v>0.22881794650560827</v>
          </cell>
          <cell r="K1428">
            <v>0</v>
          </cell>
          <cell r="L1428">
            <v>0.22881794650560827</v>
          </cell>
          <cell r="M1428">
            <v>4.3683399999999999</v>
          </cell>
          <cell r="N1428">
            <v>0.33803900000000003</v>
          </cell>
          <cell r="O1428">
            <v>4.7063790000000001</v>
          </cell>
          <cell r="P1428">
            <v>0.20530000000000001</v>
          </cell>
          <cell r="Q1428">
            <v>0</v>
          </cell>
          <cell r="R1428">
            <v>0.14300000000000002</v>
          </cell>
          <cell r="S1428">
            <v>0</v>
          </cell>
          <cell r="T1428">
            <v>0.14300000000000002</v>
          </cell>
          <cell r="U1428">
            <v>-0.73887070700000024</v>
          </cell>
          <cell r="V1428">
            <v>8.550867021789184</v>
          </cell>
        </row>
        <row r="1429">
          <cell r="D1429" t="str">
            <v>TAIWAN-Total - Salaries, Wage and Benefits, M$</v>
          </cell>
          <cell r="E1429">
            <v>0.87753810756399186</v>
          </cell>
          <cell r="F1429">
            <v>0.11009490940465917</v>
          </cell>
          <cell r="G1429">
            <v>0.98763301696865102</v>
          </cell>
          <cell r="H1429">
            <v>0.1019</v>
          </cell>
          <cell r="I1429">
            <v>0</v>
          </cell>
          <cell r="J1429">
            <v>0.14345700316364682</v>
          </cell>
          <cell r="K1429">
            <v>0</v>
          </cell>
          <cell r="L1429">
            <v>0.14345700316364682</v>
          </cell>
          <cell r="M1429">
            <v>1.30772</v>
          </cell>
          <cell r="N1429">
            <v>0.13560900000000001</v>
          </cell>
          <cell r="O1429">
            <v>1.4433290000000001</v>
          </cell>
          <cell r="P1429">
            <v>0.158</v>
          </cell>
          <cell r="Q1429">
            <v>0</v>
          </cell>
          <cell r="R1429">
            <v>0.05</v>
          </cell>
          <cell r="S1429">
            <v>0</v>
          </cell>
          <cell r="T1429">
            <v>0.05</v>
          </cell>
          <cell r="U1429">
            <v>0</v>
          </cell>
          <cell r="V1429">
            <v>2.8843190201322977</v>
          </cell>
        </row>
        <row r="1430">
          <cell r="D1430" t="str">
            <v>TAIWAN-Total - XOM Employee SWB, M$</v>
          </cell>
          <cell r="E1430">
            <v>0.84014955421340232</v>
          </cell>
          <cell r="F1430">
            <v>0.11009490940465917</v>
          </cell>
          <cell r="G1430">
            <v>0.95024446361806147</v>
          </cell>
          <cell r="H1430">
            <v>0.1019</v>
          </cell>
          <cell r="I1430">
            <v>0</v>
          </cell>
          <cell r="J1430">
            <v>0.14345700316364682</v>
          </cell>
          <cell r="K1430">
            <v>0</v>
          </cell>
          <cell r="L1430">
            <v>0.14345700316364682</v>
          </cell>
          <cell r="M1430">
            <v>1.30772</v>
          </cell>
          <cell r="N1430">
            <v>0.13560900000000001</v>
          </cell>
          <cell r="O1430">
            <v>1.4433290000000001</v>
          </cell>
          <cell r="P1430">
            <v>0.158</v>
          </cell>
          <cell r="Q1430">
            <v>0</v>
          </cell>
          <cell r="R1430">
            <v>0.05</v>
          </cell>
          <cell r="S1430">
            <v>0</v>
          </cell>
          <cell r="T1430">
            <v>0.05</v>
          </cell>
          <cell r="U1430">
            <v>0</v>
          </cell>
          <cell r="V1430">
            <v>2.8469304667817079</v>
          </cell>
        </row>
        <row r="1431">
          <cell r="D1431" t="str">
            <v>TAIWAN-Total - Contract Employee SWB, M$</v>
          </cell>
          <cell r="E1431">
            <v>3.738855335058959E-2</v>
          </cell>
          <cell r="F1431">
            <v>0</v>
          </cell>
          <cell r="G1431">
            <v>3.738855335058959E-2</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3.738855335058959E-2</v>
          </cell>
        </row>
        <row r="1432">
          <cell r="D1432" t="str">
            <v>TAIWAN-Total - Employee Expenses (T&amp;E), M$</v>
          </cell>
          <cell r="E1432">
            <v>1.438021282714984E-2</v>
          </cell>
          <cell r="F1432">
            <v>3.8826574633304571E-2</v>
          </cell>
          <cell r="G1432">
            <v>5.3206787460454409E-2</v>
          </cell>
          <cell r="H1432">
            <v>1.38E-2</v>
          </cell>
          <cell r="I1432">
            <v>0</v>
          </cell>
          <cell r="J1432">
            <v>0</v>
          </cell>
          <cell r="K1432">
            <v>0</v>
          </cell>
          <cell r="L1432">
            <v>0</v>
          </cell>
          <cell r="M1432">
            <v>0.29289999999999999</v>
          </cell>
          <cell r="N1432">
            <v>2.7245999999999999E-2</v>
          </cell>
          <cell r="O1432">
            <v>0.32014599999999999</v>
          </cell>
          <cell r="P1432">
            <v>4.2500000000000003E-2</v>
          </cell>
          <cell r="Q1432">
            <v>0</v>
          </cell>
          <cell r="R1432">
            <v>1.2E-2</v>
          </cell>
          <cell r="S1432">
            <v>0</v>
          </cell>
          <cell r="T1432">
            <v>1.2E-2</v>
          </cell>
          <cell r="U1432">
            <v>0</v>
          </cell>
          <cell r="V1432">
            <v>0.44165278746045439</v>
          </cell>
        </row>
        <row r="1433">
          <cell r="D1433" t="str">
            <v>TAIWAN-Total - Training Expenses, M$</v>
          </cell>
          <cell r="E1433">
            <v>1.1504170261719873E-2</v>
          </cell>
          <cell r="F1433">
            <v>3.8826574633304571E-2</v>
          </cell>
          <cell r="G1433">
            <v>5.033074489502444E-2</v>
          </cell>
          <cell r="H1433">
            <v>1.44E-2</v>
          </cell>
          <cell r="I1433">
            <v>0</v>
          </cell>
          <cell r="J1433">
            <v>0</v>
          </cell>
          <cell r="K1433">
            <v>0</v>
          </cell>
          <cell r="L1433">
            <v>0</v>
          </cell>
          <cell r="M1433">
            <v>5.3519999999999998E-2</v>
          </cell>
          <cell r="N1433">
            <v>8.7399999999999999E-4</v>
          </cell>
          <cell r="O1433">
            <v>5.4393999999999998E-2</v>
          </cell>
          <cell r="P1433">
            <v>4.8000000000000004E-3</v>
          </cell>
          <cell r="Q1433">
            <v>0</v>
          </cell>
          <cell r="R1433">
            <v>5.0000000000000001E-3</v>
          </cell>
          <cell r="S1433">
            <v>0</v>
          </cell>
          <cell r="T1433">
            <v>5.0000000000000001E-3</v>
          </cell>
          <cell r="U1433">
            <v>0</v>
          </cell>
          <cell r="V1433">
            <v>0.12892474489502442</v>
          </cell>
        </row>
        <row r="1434">
          <cell r="D1434" t="str">
            <v>TAIWAN-Total - Consultancy/Professional Fees, M$</v>
          </cell>
          <cell r="E1434">
            <v>0</v>
          </cell>
          <cell r="F1434">
            <v>0</v>
          </cell>
          <cell r="G1434">
            <v>0</v>
          </cell>
          <cell r="H1434">
            <v>0</v>
          </cell>
          <cell r="I1434">
            <v>0</v>
          </cell>
          <cell r="J1434">
            <v>0</v>
          </cell>
          <cell r="K1434">
            <v>0</v>
          </cell>
          <cell r="L1434">
            <v>0</v>
          </cell>
          <cell r="M1434">
            <v>1.8599999999999998E-2</v>
          </cell>
          <cell r="N1434">
            <v>0</v>
          </cell>
          <cell r="O1434">
            <v>1.8599999999999998E-2</v>
          </cell>
          <cell r="P1434">
            <v>0</v>
          </cell>
          <cell r="Q1434">
            <v>0</v>
          </cell>
          <cell r="R1434">
            <v>0.03</v>
          </cell>
          <cell r="S1434">
            <v>0</v>
          </cell>
          <cell r="T1434">
            <v>0.03</v>
          </cell>
          <cell r="U1434">
            <v>0</v>
          </cell>
          <cell r="V1434">
            <v>4.8599999999999997E-2</v>
          </cell>
        </row>
        <row r="1435">
          <cell r="D1435" t="str">
            <v>TAIWAN-Advertising and Promotions, M$</v>
          </cell>
          <cell r="E1435">
            <v>0</v>
          </cell>
          <cell r="F1435">
            <v>0</v>
          </cell>
          <cell r="G1435">
            <v>0</v>
          </cell>
          <cell r="H1435">
            <v>0</v>
          </cell>
          <cell r="I1435">
            <v>0</v>
          </cell>
          <cell r="J1435">
            <v>0</v>
          </cell>
          <cell r="K1435">
            <v>0</v>
          </cell>
          <cell r="L1435">
            <v>0</v>
          </cell>
          <cell r="M1435">
            <v>1.5029999999999999</v>
          </cell>
          <cell r="N1435">
            <v>0</v>
          </cell>
          <cell r="O1435">
            <v>1.5029999999999999</v>
          </cell>
          <cell r="P1435">
            <v>0</v>
          </cell>
          <cell r="Q1435">
            <v>0</v>
          </cell>
          <cell r="R1435">
            <v>0</v>
          </cell>
          <cell r="S1435">
            <v>0</v>
          </cell>
          <cell r="T1435">
            <v>0</v>
          </cell>
          <cell r="U1435">
            <v>0</v>
          </cell>
          <cell r="V1435">
            <v>1.5029999999999999</v>
          </cell>
        </row>
        <row r="1436">
          <cell r="D1436" t="str">
            <v>TAIWAN-Maintenance and Repairs, M$</v>
          </cell>
          <cell r="E1436">
            <v>0.10619068162208799</v>
          </cell>
          <cell r="F1436">
            <v>0</v>
          </cell>
          <cell r="G1436">
            <v>0.10619068162208799</v>
          </cell>
          <cell r="H1436">
            <v>0</v>
          </cell>
          <cell r="I1436">
            <v>0</v>
          </cell>
          <cell r="J1436">
            <v>0</v>
          </cell>
          <cell r="K1436">
            <v>0</v>
          </cell>
          <cell r="L1436">
            <v>0</v>
          </cell>
          <cell r="M1436">
            <v>1.4999999999999999E-2</v>
          </cell>
          <cell r="N1436">
            <v>0</v>
          </cell>
          <cell r="O1436">
            <v>1.4999999999999999E-2</v>
          </cell>
          <cell r="P1436">
            <v>0</v>
          </cell>
          <cell r="Q1436">
            <v>0</v>
          </cell>
          <cell r="R1436">
            <v>0</v>
          </cell>
          <cell r="S1436">
            <v>0</v>
          </cell>
          <cell r="T1436">
            <v>0</v>
          </cell>
          <cell r="U1436">
            <v>0</v>
          </cell>
          <cell r="V1436">
            <v>0.12119068162208799</v>
          </cell>
        </row>
        <row r="1437">
          <cell r="D1437" t="str">
            <v>TAIWAN-Depreciation, M$</v>
          </cell>
          <cell r="E1437">
            <v>0.58961748633879774</v>
          </cell>
          <cell r="F1437">
            <v>0</v>
          </cell>
          <cell r="G1437">
            <v>0.58961748633879774</v>
          </cell>
          <cell r="H1437">
            <v>0</v>
          </cell>
          <cell r="I1437">
            <v>0</v>
          </cell>
          <cell r="J1437">
            <v>1.5818234109864826E-2</v>
          </cell>
          <cell r="K1437">
            <v>0</v>
          </cell>
          <cell r="L1437">
            <v>1.5818234109864826E-2</v>
          </cell>
          <cell r="M1437">
            <v>0.37959999999999999</v>
          </cell>
          <cell r="N1437">
            <v>0</v>
          </cell>
          <cell r="O1437">
            <v>0.37959999999999999</v>
          </cell>
          <cell r="P1437">
            <v>0</v>
          </cell>
          <cell r="Q1437">
            <v>0</v>
          </cell>
          <cell r="R1437">
            <v>0</v>
          </cell>
          <cell r="S1437">
            <v>0</v>
          </cell>
          <cell r="T1437">
            <v>0</v>
          </cell>
          <cell r="U1437">
            <v>0</v>
          </cell>
          <cell r="V1437">
            <v>0.98503572044866261</v>
          </cell>
        </row>
        <row r="1438">
          <cell r="D1438" t="str">
            <v>TAIWAN-Energy, M$</v>
          </cell>
          <cell r="E1438">
            <v>0.11504170261719872</v>
          </cell>
          <cell r="F1438">
            <v>0</v>
          </cell>
          <cell r="G1438">
            <v>0.11504170261719872</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0.11504170261719872</v>
          </cell>
        </row>
        <row r="1439">
          <cell r="D1439" t="str">
            <v>TAIWAN-Direct Allocations from Other Business Lines (eg. FM, Chem), $M</v>
          </cell>
          <cell r="E1439">
            <v>4.0264595916019552E-2</v>
          </cell>
          <cell r="F1439">
            <v>0</v>
          </cell>
          <cell r="G1439">
            <v>4.0264595916019552E-2</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4.0264595916019552E-2</v>
          </cell>
        </row>
        <row r="1440">
          <cell r="D1440" t="str">
            <v>TAIWAN-Freight Cost, M$</v>
          </cell>
          <cell r="E1440">
            <v>0</v>
          </cell>
          <cell r="F1440">
            <v>1.2395743457003161</v>
          </cell>
          <cell r="G1440">
            <v>1.2395743457003161</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1.2395743457003161</v>
          </cell>
        </row>
        <row r="1441">
          <cell r="D1441" t="str">
            <v>TAIWAN-Other Direct OPEX, M$</v>
          </cell>
          <cell r="E1441">
            <v>0.47978142076502733</v>
          </cell>
          <cell r="F1441">
            <v>0</v>
          </cell>
          <cell r="G1441">
            <v>0.47978142076502733</v>
          </cell>
          <cell r="H1441">
            <v>0.2145</v>
          </cell>
          <cell r="I1441">
            <v>0</v>
          </cell>
          <cell r="J1441">
            <v>6.9542709232096628E-2</v>
          </cell>
          <cell r="K1441">
            <v>0</v>
          </cell>
          <cell r="L1441">
            <v>6.9542709232096628E-2</v>
          </cell>
          <cell r="M1441">
            <v>0.79799999999999993</v>
          </cell>
          <cell r="N1441">
            <v>0.17431000000000002</v>
          </cell>
          <cell r="O1441">
            <v>0.97231000000000001</v>
          </cell>
          <cell r="P1441">
            <v>0</v>
          </cell>
          <cell r="Q1441">
            <v>0</v>
          </cell>
          <cell r="R1441">
            <v>4.5999999999999999E-2</v>
          </cell>
          <cell r="S1441">
            <v>0</v>
          </cell>
          <cell r="T1441">
            <v>4.5999999999999999E-2</v>
          </cell>
          <cell r="U1441">
            <v>0</v>
          </cell>
          <cell r="V1441">
            <v>1.7821341299971238</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-0.73887070700000024</v>
          </cell>
          <cell r="V1442">
            <v>-0.73887070700000024</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4.2158793264733401</v>
          </cell>
          <cell r="F1446">
            <v>3.5044447146866253</v>
          </cell>
          <cell r="G1446">
            <v>7.7203240411599658</v>
          </cell>
          <cell r="H1446">
            <v>0.59</v>
          </cell>
          <cell r="I1446">
            <v>0</v>
          </cell>
          <cell r="J1446">
            <v>0.35079513564078579</v>
          </cell>
          <cell r="K1446">
            <v>0</v>
          </cell>
          <cell r="L1446">
            <v>0.35079513564078579</v>
          </cell>
          <cell r="M1446">
            <v>6.6250000060314704</v>
          </cell>
          <cell r="N1446">
            <v>0.295603</v>
          </cell>
          <cell r="O1446">
            <v>6.9206030060314703</v>
          </cell>
          <cell r="P1446">
            <v>0.15572783166945728</v>
          </cell>
          <cell r="Q1446">
            <v>0</v>
          </cell>
          <cell r="R1446">
            <v>0.26700000000000002</v>
          </cell>
          <cell r="S1446">
            <v>0.34360000000000002</v>
          </cell>
          <cell r="T1446">
            <v>0.61060000000000003</v>
          </cell>
          <cell r="U1446">
            <v>1.317927697731665</v>
          </cell>
          <cell r="V1446">
            <v>17.665977712233342</v>
          </cell>
        </row>
        <row r="1447">
          <cell r="D1447" t="str">
            <v>THAILAND-Total - Salaries, Wage and Benefits, M$</v>
          </cell>
          <cell r="E1447">
            <v>1.1910196445275958</v>
          </cell>
          <cell r="F1447">
            <v>0.21047708138447146</v>
          </cell>
          <cell r="G1447">
            <v>1.4014967259120672</v>
          </cell>
          <cell r="H1447">
            <v>0.54</v>
          </cell>
          <cell r="I1447">
            <v>0</v>
          </cell>
          <cell r="J1447">
            <v>0.14967259120673529</v>
          </cell>
          <cell r="K1447">
            <v>0</v>
          </cell>
          <cell r="L1447">
            <v>0.14967259120673529</v>
          </cell>
          <cell r="M1447">
            <v>1.5542310882000387</v>
          </cell>
          <cell r="N1447">
            <v>0.114303</v>
          </cell>
          <cell r="O1447">
            <v>1.6685340882000388</v>
          </cell>
          <cell r="P1447">
            <v>0.11215785476414548</v>
          </cell>
          <cell r="Q1447">
            <v>0</v>
          </cell>
          <cell r="R1447">
            <v>0.104</v>
          </cell>
          <cell r="S1447">
            <v>0.124</v>
          </cell>
          <cell r="T1447">
            <v>0.22799999999999998</v>
          </cell>
          <cell r="U1447">
            <v>0.3658631792559181</v>
          </cell>
          <cell r="V1447">
            <v>4.4657244393389046</v>
          </cell>
        </row>
        <row r="1448">
          <cell r="D1448" t="str">
            <v>THAILAND-Total - XOM Employee SWB, M$</v>
          </cell>
          <cell r="E1448">
            <v>1.1910196445275958</v>
          </cell>
          <cell r="F1448">
            <v>0.21047708138447146</v>
          </cell>
          <cell r="G1448">
            <v>1.4014967259120672</v>
          </cell>
          <cell r="H1448">
            <v>0.53</v>
          </cell>
          <cell r="I1448">
            <v>0</v>
          </cell>
          <cell r="J1448">
            <v>0.14967259120673529</v>
          </cell>
          <cell r="K1448">
            <v>0</v>
          </cell>
          <cell r="L1448">
            <v>0.14967259120673529</v>
          </cell>
          <cell r="M1448">
            <v>1.2050394022877986</v>
          </cell>
          <cell r="N1448">
            <v>0.108303</v>
          </cell>
          <cell r="O1448">
            <v>1.3133424022877986</v>
          </cell>
          <cell r="P1448">
            <v>0.11215785476414548</v>
          </cell>
          <cell r="Q1448">
            <v>0</v>
          </cell>
          <cell r="R1448">
            <v>0.104</v>
          </cell>
          <cell r="S1448">
            <v>0.124</v>
          </cell>
          <cell r="T1448">
            <v>0.22799999999999998</v>
          </cell>
          <cell r="U1448">
            <v>0.3658631792559181</v>
          </cell>
          <cell r="V1448">
            <v>4.1005327534266645</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0.3491916859122402</v>
          </cell>
          <cell r="N1449">
            <v>6.0000000000000001E-3</v>
          </cell>
          <cell r="O1449">
            <v>0.35519168591224021</v>
          </cell>
          <cell r="P1449">
            <v>0</v>
          </cell>
          <cell r="Q1449">
            <v>0</v>
          </cell>
          <cell r="R1449">
            <v>0</v>
          </cell>
          <cell r="S1449">
            <v>0</v>
          </cell>
          <cell r="T1449">
            <v>0</v>
          </cell>
          <cell r="U1449">
            <v>0</v>
          </cell>
          <cell r="V1449">
            <v>0.36519168591224022</v>
          </cell>
        </row>
        <row r="1450">
          <cell r="D1450" t="str">
            <v>THAILAND-Total - Employee Expenses (T&amp;E), M$</v>
          </cell>
          <cell r="E1450">
            <v>5.8465855940130963E-2</v>
          </cell>
          <cell r="F1450">
            <v>3.0402245088868105E-2</v>
          </cell>
          <cell r="G1450">
            <v>8.8868101028999072E-2</v>
          </cell>
          <cell r="H1450">
            <v>0.01</v>
          </cell>
          <cell r="I1450">
            <v>0</v>
          </cell>
          <cell r="J1450">
            <v>0</v>
          </cell>
          <cell r="K1450">
            <v>0</v>
          </cell>
          <cell r="L1450">
            <v>0</v>
          </cell>
          <cell r="M1450">
            <v>0.26767629092609913</v>
          </cell>
          <cell r="N1450">
            <v>2.4799999999999999E-2</v>
          </cell>
          <cell r="O1450">
            <v>0.29247629092609911</v>
          </cell>
          <cell r="P1450">
            <v>3.8807806004618944E-2</v>
          </cell>
          <cell r="Q1450">
            <v>0</v>
          </cell>
          <cell r="R1450">
            <v>1.4E-2</v>
          </cell>
          <cell r="S1450">
            <v>2.5000000000000001E-2</v>
          </cell>
          <cell r="T1450">
            <v>3.9E-2</v>
          </cell>
          <cell r="U1450">
            <v>2.0901419750577369E-2</v>
          </cell>
          <cell r="V1450">
            <v>0.49005361771029454</v>
          </cell>
        </row>
        <row r="1451">
          <cell r="D1451" t="str">
            <v>THAILAND-Total - Training Expenses, M$</v>
          </cell>
          <cell r="E1451">
            <v>5.846585594013097E-3</v>
          </cell>
          <cell r="F1451">
            <v>3.0402245088868105E-2</v>
          </cell>
          <cell r="G1451">
            <v>3.6248830682881206E-2</v>
          </cell>
          <cell r="H1451">
            <v>0</v>
          </cell>
          <cell r="I1451">
            <v>0</v>
          </cell>
          <cell r="J1451">
            <v>0</v>
          </cell>
          <cell r="K1451">
            <v>0</v>
          </cell>
          <cell r="L1451">
            <v>0</v>
          </cell>
          <cell r="M1451">
            <v>0</v>
          </cell>
          <cell r="N1451">
            <v>3.2000000000000002E-3</v>
          </cell>
          <cell r="O1451">
            <v>3.2000000000000002E-3</v>
          </cell>
          <cell r="P1451">
            <v>0</v>
          </cell>
          <cell r="Q1451">
            <v>0</v>
          </cell>
          <cell r="R1451">
            <v>0</v>
          </cell>
          <cell r="S1451">
            <v>0</v>
          </cell>
          <cell r="T1451">
            <v>0</v>
          </cell>
          <cell r="U1451">
            <v>0</v>
          </cell>
          <cell r="V1451">
            <v>3.9448830682881207E-2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2.5000000000000001E-3</v>
          </cell>
          <cell r="O1452">
            <v>2.5000000000000001E-3</v>
          </cell>
          <cell r="P1452">
            <v>2.5841108545034647E-3</v>
          </cell>
          <cell r="Q1452">
            <v>0</v>
          </cell>
          <cell r="R1452">
            <v>0</v>
          </cell>
          <cell r="S1452">
            <v>0</v>
          </cell>
          <cell r="T1452">
            <v>0</v>
          </cell>
          <cell r="U1452">
            <v>0.10368382872055427</v>
          </cell>
          <cell r="V1452">
            <v>0.10876793957505775</v>
          </cell>
        </row>
        <row r="1453">
          <cell r="D1453" t="str">
            <v>THAILAND-Advertising and Promotions, M$</v>
          </cell>
          <cell r="E1453">
            <v>0</v>
          </cell>
          <cell r="F1453">
            <v>0</v>
          </cell>
          <cell r="G1453">
            <v>0</v>
          </cell>
          <cell r="H1453">
            <v>0</v>
          </cell>
          <cell r="I1453">
            <v>0</v>
          </cell>
          <cell r="J1453">
            <v>0</v>
          </cell>
          <cell r="K1453">
            <v>0</v>
          </cell>
          <cell r="L1453">
            <v>0</v>
          </cell>
          <cell r="M1453">
            <v>2.441870669745958</v>
          </cell>
          <cell r="N1453">
            <v>0</v>
          </cell>
          <cell r="O1453">
            <v>2.441870669745958</v>
          </cell>
          <cell r="P1453">
            <v>0</v>
          </cell>
          <cell r="Q1453">
            <v>0</v>
          </cell>
          <cell r="R1453">
            <v>0</v>
          </cell>
          <cell r="S1453">
            <v>0</v>
          </cell>
          <cell r="T1453">
            <v>0</v>
          </cell>
          <cell r="U1453">
            <v>0</v>
          </cell>
          <cell r="V1453">
            <v>2.441870669745958</v>
          </cell>
        </row>
        <row r="1454">
          <cell r="D1454" t="str">
            <v>THAILAND-Maintenance and Repairs, M$</v>
          </cell>
          <cell r="E1454">
            <v>0.24555659494855006</v>
          </cell>
          <cell r="F1454">
            <v>0</v>
          </cell>
          <cell r="G1454">
            <v>0.24555659494855006</v>
          </cell>
          <cell r="H1454">
            <v>0</v>
          </cell>
          <cell r="I1454">
            <v>0</v>
          </cell>
          <cell r="J1454">
            <v>0</v>
          </cell>
          <cell r="K1454">
            <v>0</v>
          </cell>
          <cell r="L1454">
            <v>0</v>
          </cell>
          <cell r="M1454">
            <v>9.9290731057062737E-2</v>
          </cell>
          <cell r="N1454">
            <v>0</v>
          </cell>
          <cell r="O1454">
            <v>9.9290731057062737E-2</v>
          </cell>
          <cell r="P1454">
            <v>0</v>
          </cell>
          <cell r="Q1454">
            <v>0</v>
          </cell>
          <cell r="R1454">
            <v>0</v>
          </cell>
          <cell r="S1454">
            <v>0</v>
          </cell>
          <cell r="T1454">
            <v>0</v>
          </cell>
          <cell r="U1454">
            <v>0</v>
          </cell>
          <cell r="V1454">
            <v>0.3448473260056128</v>
          </cell>
        </row>
        <row r="1455">
          <cell r="D1455" t="str">
            <v>THAILAND-Depreciation, M$</v>
          </cell>
          <cell r="E1455">
            <v>1.0640785781103834</v>
          </cell>
          <cell r="F1455">
            <v>0</v>
          </cell>
          <cell r="G1455">
            <v>1.0640785781103834</v>
          </cell>
          <cell r="H1455">
            <v>0</v>
          </cell>
          <cell r="I1455">
            <v>0</v>
          </cell>
          <cell r="J1455">
            <v>0.10757717492984097</v>
          </cell>
          <cell r="K1455">
            <v>0</v>
          </cell>
          <cell r="L1455">
            <v>0.10757717492984097</v>
          </cell>
          <cell r="M1455">
            <v>0.62222022450888681</v>
          </cell>
          <cell r="N1455">
            <v>7.0000000000000001E-3</v>
          </cell>
          <cell r="O1455">
            <v>0.62922022450888682</v>
          </cell>
          <cell r="P1455">
            <v>0</v>
          </cell>
          <cell r="Q1455">
            <v>0</v>
          </cell>
          <cell r="R1455">
            <v>0.125</v>
          </cell>
          <cell r="S1455">
            <v>4.5600000000000002E-2</v>
          </cell>
          <cell r="T1455">
            <v>0.1706</v>
          </cell>
          <cell r="U1455">
            <v>0</v>
          </cell>
          <cell r="V1455">
            <v>1.9714759775491111</v>
          </cell>
        </row>
        <row r="1456">
          <cell r="D1456" t="str">
            <v>THAILAND-Energy, M$</v>
          </cell>
          <cell r="E1456">
            <v>0.23989710009354537</v>
          </cell>
          <cell r="F1456">
            <v>0</v>
          </cell>
          <cell r="G1456">
            <v>0.23989710009354537</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0.23989710009354537</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0.63364055299539168</v>
          </cell>
          <cell r="N1457">
            <v>0</v>
          </cell>
          <cell r="O1457">
            <v>0.63364055299539168</v>
          </cell>
          <cell r="P1457">
            <v>0</v>
          </cell>
          <cell r="Q1457">
            <v>0</v>
          </cell>
          <cell r="R1457">
            <v>0</v>
          </cell>
          <cell r="S1457">
            <v>0</v>
          </cell>
          <cell r="T1457">
            <v>0</v>
          </cell>
          <cell r="U1457">
            <v>0</v>
          </cell>
          <cell r="V1457">
            <v>0.63364055299539168</v>
          </cell>
        </row>
        <row r="1458">
          <cell r="D1458" t="str">
            <v>THAILAND-Freight Cost, M$</v>
          </cell>
          <cell r="E1458">
            <v>0</v>
          </cell>
          <cell r="F1458">
            <v>2.121493615528534</v>
          </cell>
          <cell r="G1458">
            <v>2.121493615528534</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2.121493615528534</v>
          </cell>
        </row>
        <row r="1459">
          <cell r="D1459" t="str">
            <v>THAILAND-Other Direct OPEX, M$</v>
          </cell>
          <cell r="E1459">
            <v>1.4110149672591208</v>
          </cell>
          <cell r="F1459">
            <v>1.1116695275958839</v>
          </cell>
          <cell r="G1459">
            <v>2.5226844948550049</v>
          </cell>
          <cell r="H1459">
            <v>0.04</v>
          </cell>
          <cell r="I1459">
            <v>0</v>
          </cell>
          <cell r="J1459">
            <v>9.3545369504209552E-2</v>
          </cell>
          <cell r="K1459">
            <v>0</v>
          </cell>
          <cell r="L1459">
            <v>9.3545369504209552E-2</v>
          </cell>
          <cell r="M1459">
            <v>1.0060704485980334</v>
          </cell>
          <cell r="N1459">
            <v>0.14379999999999998</v>
          </cell>
          <cell r="O1459">
            <v>1.1498704485980333</v>
          </cell>
          <cell r="P1459">
            <v>2.178060046189366E-3</v>
          </cell>
          <cell r="Q1459">
            <v>0</v>
          </cell>
          <cell r="R1459">
            <v>2.4000000000000021E-2</v>
          </cell>
          <cell r="S1459">
            <v>0.14900000000000005</v>
          </cell>
          <cell r="T1459">
            <v>0.17300000000000007</v>
          </cell>
          <cell r="U1459">
            <v>5.7679270004618782E-2</v>
          </cell>
          <cell r="V1459">
            <v>4.0389576430080556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0.76979999999999649</v>
          </cell>
          <cell r="V1460">
            <v>0.76979999999999649</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0.62834450963992383</v>
          </cell>
          <cell r="F1464">
            <v>0.52926633328282824</v>
          </cell>
          <cell r="G1464">
            <v>1.1576108429227523</v>
          </cell>
          <cell r="H1464">
            <v>1.8350264400000003E-2</v>
          </cell>
          <cell r="I1464">
            <v>0</v>
          </cell>
          <cell r="J1464">
            <v>0</v>
          </cell>
          <cell r="K1464">
            <v>0</v>
          </cell>
          <cell r="L1464">
            <v>0</v>
          </cell>
          <cell r="M1464">
            <v>1.0503545917848642</v>
          </cell>
          <cell r="N1464">
            <v>0.1681027232151357</v>
          </cell>
          <cell r="O1464">
            <v>1.218457315</v>
          </cell>
          <cell r="P1464">
            <v>0</v>
          </cell>
          <cell r="Q1464">
            <v>0</v>
          </cell>
          <cell r="R1464">
            <v>1.2108255E-2</v>
          </cell>
          <cell r="S1464">
            <v>7.9390180000000005E-2</v>
          </cell>
          <cell r="T1464">
            <v>9.1498434999999989E-2</v>
          </cell>
          <cell r="U1464">
            <v>0.14222084711111216</v>
          </cell>
          <cell r="V1464">
            <v>2.6281377044338639</v>
          </cell>
        </row>
        <row r="1465">
          <cell r="D1465" t="str">
            <v>VIETNAM-Total - Salaries, Wage and Benefits, M$</v>
          </cell>
          <cell r="E1465">
            <v>0.15204221248489053</v>
          </cell>
          <cell r="F1465">
            <v>4.8618120873737368E-2</v>
          </cell>
          <cell r="G1465">
            <v>0.2006603333586279</v>
          </cell>
          <cell r="H1465">
            <v>1.8350264400000003E-2</v>
          </cell>
          <cell r="I1465">
            <v>0</v>
          </cell>
          <cell r="J1465">
            <v>0</v>
          </cell>
          <cell r="K1465">
            <v>0</v>
          </cell>
          <cell r="L1465">
            <v>0</v>
          </cell>
          <cell r="M1465">
            <v>0.20247475402388382</v>
          </cell>
          <cell r="N1465">
            <v>2.7594093145258514E-2</v>
          </cell>
          <cell r="O1465">
            <v>0.23006884716914233</v>
          </cell>
          <cell r="P1465">
            <v>0</v>
          </cell>
          <cell r="Q1465">
            <v>0</v>
          </cell>
          <cell r="R1465">
            <v>5.2038645009162632E-3</v>
          </cell>
          <cell r="S1465">
            <v>2.1999999999999999E-2</v>
          </cell>
          <cell r="T1465">
            <v>2.7203864500916261E-2</v>
          </cell>
          <cell r="U1465">
            <v>0.161109736</v>
          </cell>
          <cell r="V1465">
            <v>0.63739304542868647</v>
          </cell>
        </row>
        <row r="1466">
          <cell r="D1466" t="str">
            <v>VIETNAM-Total - XOM Employee SWB, M$</v>
          </cell>
          <cell r="E1466">
            <v>0.15204221248489053</v>
          </cell>
          <cell r="F1466">
            <v>4.8618120873737368E-2</v>
          </cell>
          <cell r="G1466">
            <v>0.2006603333586279</v>
          </cell>
          <cell r="H1466">
            <v>1.8350264400000003E-2</v>
          </cell>
          <cell r="I1466">
            <v>0</v>
          </cell>
          <cell r="J1466">
            <v>0</v>
          </cell>
          <cell r="K1466">
            <v>0</v>
          </cell>
          <cell r="L1466">
            <v>0</v>
          </cell>
          <cell r="M1466">
            <v>0.20247475402388382</v>
          </cell>
          <cell r="N1466">
            <v>2.7594093145258514E-2</v>
          </cell>
          <cell r="O1466">
            <v>0.23006884716914233</v>
          </cell>
          <cell r="P1466">
            <v>0</v>
          </cell>
          <cell r="Q1466">
            <v>0</v>
          </cell>
          <cell r="R1466">
            <v>5.2038645009162632E-3</v>
          </cell>
          <cell r="S1466">
            <v>2.1999999999999999E-2</v>
          </cell>
          <cell r="T1466">
            <v>2.7203864500916261E-2</v>
          </cell>
          <cell r="U1466">
            <v>0.161109736</v>
          </cell>
          <cell r="V1466">
            <v>0.63739304542868647</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6.0146855355715755E-2</v>
          </cell>
          <cell r="N1468">
            <v>2.4126771796516039E-2</v>
          </cell>
          <cell r="O1468">
            <v>8.42736271522318E-2</v>
          </cell>
          <cell r="P1468">
            <v>0</v>
          </cell>
          <cell r="Q1468">
            <v>0</v>
          </cell>
          <cell r="R1468">
            <v>1.4850104086417595E-3</v>
          </cell>
          <cell r="S1468">
            <v>1.0999999999999999E-2</v>
          </cell>
          <cell r="T1468">
            <v>1.2485010408641759E-2</v>
          </cell>
          <cell r="U1468">
            <v>8.9439999999999988E-3</v>
          </cell>
          <cell r="V1468">
            <v>0.10570263756087354</v>
          </cell>
        </row>
        <row r="1469">
          <cell r="D1469" t="str">
            <v>VIETNAM-Total - Training Expenses, M$</v>
          </cell>
          <cell r="E1469">
            <v>0</v>
          </cell>
          <cell r="F1469">
            <v>0</v>
          </cell>
          <cell r="G1469">
            <v>0</v>
          </cell>
          <cell r="H1469">
            <v>0</v>
          </cell>
          <cell r="I1469">
            <v>0</v>
          </cell>
          <cell r="J1469">
            <v>0</v>
          </cell>
          <cell r="K1469">
            <v>0</v>
          </cell>
          <cell r="L1469">
            <v>0</v>
          </cell>
          <cell r="M1469">
            <v>9.0242084705881454E-3</v>
          </cell>
          <cell r="N1469">
            <v>4.9558635813847396E-4</v>
          </cell>
          <cell r="O1469">
            <v>9.5197948287266201E-3</v>
          </cell>
          <cell r="P1469">
            <v>0</v>
          </cell>
          <cell r="Q1469">
            <v>0</v>
          </cell>
          <cell r="R1469">
            <v>1.1842188266680698E-4</v>
          </cell>
          <cell r="S1469">
            <v>1.4999999999999999E-5</v>
          </cell>
          <cell r="T1469">
            <v>1.3342188266680699E-4</v>
          </cell>
          <cell r="U1469">
            <v>0</v>
          </cell>
          <cell r="V1469">
            <v>9.653216711393426E-3</v>
          </cell>
        </row>
        <row r="1470">
          <cell r="D1470" t="str">
            <v>VIETNAM-Total - Consultancy/Professional Fees, M$</v>
          </cell>
          <cell r="E1470">
            <v>0</v>
          </cell>
          <cell r="F1470">
            <v>0</v>
          </cell>
          <cell r="G1470">
            <v>0</v>
          </cell>
          <cell r="H1470">
            <v>0</v>
          </cell>
          <cell r="I1470">
            <v>0</v>
          </cell>
          <cell r="J1470">
            <v>0</v>
          </cell>
          <cell r="K1470">
            <v>0</v>
          </cell>
          <cell r="L1470">
            <v>0</v>
          </cell>
          <cell r="M1470">
            <v>4.299767633243798E-3</v>
          </cell>
          <cell r="N1470">
            <v>2.0023236675620188E-4</v>
          </cell>
          <cell r="O1470">
            <v>4.4999999999999997E-3</v>
          </cell>
          <cell r="P1470">
            <v>0</v>
          </cell>
          <cell r="Q1470">
            <v>0</v>
          </cell>
          <cell r="R1470">
            <v>0</v>
          </cell>
          <cell r="S1470">
            <v>0</v>
          </cell>
          <cell r="T1470">
            <v>0</v>
          </cell>
          <cell r="U1470">
            <v>0</v>
          </cell>
          <cell r="V1470">
            <v>4.4999999999999997E-3</v>
          </cell>
        </row>
        <row r="1471">
          <cell r="D1471" t="str">
            <v>VIETNAM-Advertising and Promotions, M$</v>
          </cell>
          <cell r="E1471">
            <v>0</v>
          </cell>
          <cell r="F1471">
            <v>0</v>
          </cell>
          <cell r="G1471">
            <v>0</v>
          </cell>
          <cell r="H1471">
            <v>0</v>
          </cell>
          <cell r="I1471">
            <v>0</v>
          </cell>
          <cell r="J1471">
            <v>0</v>
          </cell>
          <cell r="K1471">
            <v>0</v>
          </cell>
          <cell r="L1471">
            <v>0</v>
          </cell>
          <cell r="M1471">
            <v>0.27734999999999999</v>
          </cell>
          <cell r="N1471">
            <v>1.187E-2</v>
          </cell>
          <cell r="O1471">
            <v>0.28921999999999998</v>
          </cell>
          <cell r="P1471">
            <v>0</v>
          </cell>
          <cell r="Q1471">
            <v>0</v>
          </cell>
          <cell r="R1471">
            <v>0</v>
          </cell>
          <cell r="S1471">
            <v>1.0249999999999999E-3</v>
          </cell>
          <cell r="T1471">
            <v>1.0249999999999999E-3</v>
          </cell>
          <cell r="U1471">
            <v>0</v>
          </cell>
          <cell r="V1471">
            <v>0.29024499999999998</v>
          </cell>
        </row>
        <row r="1472">
          <cell r="D1472" t="str">
            <v>VIETNAM-Maintenance and Repairs, M$</v>
          </cell>
          <cell r="E1472">
            <v>0</v>
          </cell>
          <cell r="F1472">
            <v>0</v>
          </cell>
          <cell r="G1472">
            <v>0</v>
          </cell>
          <cell r="H1472">
            <v>0</v>
          </cell>
          <cell r="I1472">
            <v>0</v>
          </cell>
          <cell r="J1472">
            <v>0</v>
          </cell>
          <cell r="K1472">
            <v>0</v>
          </cell>
          <cell r="L1472">
            <v>0</v>
          </cell>
          <cell r="M1472">
            <v>1.5499999999999999E-3</v>
          </cell>
          <cell r="N1472">
            <v>4.5000000000000003E-5</v>
          </cell>
          <cell r="O1472">
            <v>1.5949999999999998E-3</v>
          </cell>
          <cell r="P1472">
            <v>0</v>
          </cell>
          <cell r="Q1472">
            <v>0</v>
          </cell>
          <cell r="R1472">
            <v>0</v>
          </cell>
          <cell r="S1472">
            <v>0</v>
          </cell>
          <cell r="T1472">
            <v>0</v>
          </cell>
          <cell r="U1472">
            <v>0</v>
          </cell>
          <cell r="V1472">
            <v>1.5949999999999998E-3</v>
          </cell>
        </row>
        <row r="1473">
          <cell r="D1473" t="str">
            <v>VIETNAM-Depreciation, M$</v>
          </cell>
          <cell r="E1473">
            <v>0.25239597600000002</v>
          </cell>
          <cell r="F1473">
            <v>0</v>
          </cell>
          <cell r="G1473">
            <v>0.25239597600000002</v>
          </cell>
          <cell r="H1473">
            <v>0</v>
          </cell>
          <cell r="I1473">
            <v>0</v>
          </cell>
          <cell r="J1473">
            <v>0</v>
          </cell>
          <cell r="K1473">
            <v>0</v>
          </cell>
          <cell r="L1473">
            <v>0</v>
          </cell>
          <cell r="M1473">
            <v>0.25891287874395719</v>
          </cell>
          <cell r="N1473">
            <v>3.4172341256042828E-2</v>
          </cell>
          <cell r="O1473">
            <v>0.29308522000000004</v>
          </cell>
          <cell r="P1473">
            <v>0</v>
          </cell>
          <cell r="Q1473">
            <v>0</v>
          </cell>
          <cell r="R1473">
            <v>0</v>
          </cell>
          <cell r="S1473">
            <v>0</v>
          </cell>
          <cell r="T1473">
            <v>0</v>
          </cell>
          <cell r="U1473">
            <v>0</v>
          </cell>
          <cell r="V1473">
            <v>0.54548119600000011</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0.48064821240909089</v>
          </cell>
          <cell r="G1476">
            <v>0.48064821240909089</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0.48064821240909089</v>
          </cell>
        </row>
        <row r="1477">
          <cell r="D1477" t="str">
            <v>VIETNAM-Other Direct OPEX, M$</v>
          </cell>
          <cell r="E1477">
            <v>0.22390632115503334</v>
          </cell>
          <cell r="F1477">
            <v>0</v>
          </cell>
          <cell r="G1477">
            <v>0.22390632115503334</v>
          </cell>
          <cell r="H1477">
            <v>0</v>
          </cell>
          <cell r="I1477">
            <v>0</v>
          </cell>
          <cell r="J1477">
            <v>0</v>
          </cell>
          <cell r="K1477">
            <v>0</v>
          </cell>
          <cell r="L1477">
            <v>0</v>
          </cell>
          <cell r="M1477">
            <v>0.23659612755747556</v>
          </cell>
          <cell r="N1477">
            <v>6.9598698292423627E-2</v>
          </cell>
          <cell r="O1477">
            <v>0.30619482584989921</v>
          </cell>
          <cell r="P1477">
            <v>0</v>
          </cell>
          <cell r="Q1477">
            <v>0</v>
          </cell>
          <cell r="R1477">
            <v>5.30095820777517E-3</v>
          </cell>
          <cell r="S1477">
            <v>4.5350180000000004E-2</v>
          </cell>
          <cell r="T1477">
            <v>5.065113820777517E-2</v>
          </cell>
          <cell r="U1477">
            <v>1.9056000000000003E-2</v>
          </cell>
          <cell r="V1477">
            <v>0.59980828521270768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-4.688888888888787E-2</v>
          </cell>
          <cell r="V1478">
            <v>-4.688888888888787E-2</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3.2519200000000001</v>
          </cell>
          <cell r="I1518">
            <v>0.42599999999999999</v>
          </cell>
          <cell r="J1518">
            <v>0</v>
          </cell>
          <cell r="K1518">
            <v>0</v>
          </cell>
          <cell r="L1518">
            <v>0.42599999999999999</v>
          </cell>
          <cell r="M1518">
            <v>1.9675</v>
          </cell>
          <cell r="N1518">
            <v>0.24</v>
          </cell>
          <cell r="O1518">
            <v>2.2075</v>
          </cell>
          <cell r="P1518">
            <v>0.39650000000000002</v>
          </cell>
          <cell r="Q1518">
            <v>0.1</v>
          </cell>
          <cell r="R1518">
            <v>0.22409999999999999</v>
          </cell>
          <cell r="S1518">
            <v>0.28000000000000003</v>
          </cell>
          <cell r="T1518">
            <v>0.60410000000000008</v>
          </cell>
          <cell r="U1518">
            <v>-2.7024672732796011</v>
          </cell>
          <cell r="V1518">
            <v>6.1035527267203991</v>
          </cell>
        </row>
        <row r="1519">
          <cell r="D1519" t="str">
            <v>ASIA-PACIFIC ADJ-Total - Salaries, Wage and Benefits, M$</v>
          </cell>
          <cell r="E1519">
            <v>0.96</v>
          </cell>
          <cell r="F1519">
            <v>0.96</v>
          </cell>
          <cell r="G1519">
            <v>1.92</v>
          </cell>
          <cell r="H1519">
            <v>3.2519200000000001</v>
          </cell>
          <cell r="I1519">
            <v>0.42599999999999999</v>
          </cell>
          <cell r="J1519">
            <v>0</v>
          </cell>
          <cell r="K1519">
            <v>0</v>
          </cell>
          <cell r="L1519">
            <v>0.42599999999999999</v>
          </cell>
          <cell r="M1519">
            <v>1.9675</v>
          </cell>
          <cell r="N1519">
            <v>0.24</v>
          </cell>
          <cell r="O1519">
            <v>2.2075</v>
          </cell>
          <cell r="P1519">
            <v>0.39650000000000002</v>
          </cell>
          <cell r="Q1519">
            <v>0.1</v>
          </cell>
          <cell r="R1519">
            <v>0.22409999999999999</v>
          </cell>
          <cell r="S1519">
            <v>0.28000000000000003</v>
          </cell>
          <cell r="T1519">
            <v>0.60410000000000008</v>
          </cell>
          <cell r="U1519">
            <v>0</v>
          </cell>
          <cell r="V1519">
            <v>8.8060200000000002</v>
          </cell>
        </row>
        <row r="1520">
          <cell r="D1520" t="str">
            <v>ASIA-PACIFIC ADJ-Total - XOM Employee SWB, M$</v>
          </cell>
          <cell r="E1520">
            <v>0.96</v>
          </cell>
          <cell r="F1520">
            <v>0.96</v>
          </cell>
          <cell r="G1520">
            <v>1.92</v>
          </cell>
          <cell r="H1520">
            <v>3.2519200000000001</v>
          </cell>
          <cell r="I1520">
            <v>0.42599999999999999</v>
          </cell>
          <cell r="J1520">
            <v>0</v>
          </cell>
          <cell r="K1520">
            <v>0</v>
          </cell>
          <cell r="L1520">
            <v>0.42599999999999999</v>
          </cell>
          <cell r="M1520">
            <v>1.9675</v>
          </cell>
          <cell r="N1520">
            <v>0.24</v>
          </cell>
          <cell r="O1520">
            <v>2.2075</v>
          </cell>
          <cell r="P1520">
            <v>0.39650000000000002</v>
          </cell>
          <cell r="Q1520">
            <v>0.1</v>
          </cell>
          <cell r="R1520">
            <v>0.22409999999999999</v>
          </cell>
          <cell r="S1520">
            <v>0.28000000000000003</v>
          </cell>
          <cell r="T1520">
            <v>0.60410000000000008</v>
          </cell>
          <cell r="U1520">
            <v>0</v>
          </cell>
          <cell r="V1520">
            <v>8.8060200000000002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-2.7024672732796011</v>
          </cell>
          <cell r="V1532">
            <v>-2.7024672732796011</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23.722000000000001</v>
          </cell>
          <cell r="F1536">
            <v>0</v>
          </cell>
          <cell r="G1536">
            <v>23.722000000000001</v>
          </cell>
          <cell r="H1536">
            <v>19.122</v>
          </cell>
          <cell r="I1536">
            <v>37.366</v>
          </cell>
          <cell r="J1536">
            <v>0</v>
          </cell>
          <cell r="K1536">
            <v>0</v>
          </cell>
          <cell r="L1536">
            <v>37.366</v>
          </cell>
          <cell r="M1536">
            <v>26.321999999999999</v>
          </cell>
          <cell r="N1536">
            <v>0</v>
          </cell>
          <cell r="O1536">
            <v>26.321999999999999</v>
          </cell>
          <cell r="P1536">
            <v>67.516999999999996</v>
          </cell>
          <cell r="Q1536">
            <v>28.513000000000002</v>
          </cell>
          <cell r="R1536">
            <v>0</v>
          </cell>
          <cell r="S1536">
            <v>0</v>
          </cell>
          <cell r="T1536">
            <v>28.513000000000002</v>
          </cell>
          <cell r="U1536">
            <v>-202.56200000000004</v>
          </cell>
          <cell r="V1536">
            <v>-2.8421709430404007E-14</v>
          </cell>
        </row>
        <row r="1537">
          <cell r="D1537" t="str">
            <v>HQ-Total - Salaries, Wage and Benefits, M$</v>
          </cell>
          <cell r="E1537">
            <v>23.722000000000001</v>
          </cell>
          <cell r="F1537">
            <v>0</v>
          </cell>
          <cell r="G1537">
            <v>23.722000000000001</v>
          </cell>
          <cell r="H1537">
            <v>19.122</v>
          </cell>
          <cell r="I1537">
            <v>37.366</v>
          </cell>
          <cell r="J1537">
            <v>0</v>
          </cell>
          <cell r="K1537">
            <v>0</v>
          </cell>
          <cell r="L1537">
            <v>37.366</v>
          </cell>
          <cell r="M1537">
            <v>26.321999999999999</v>
          </cell>
          <cell r="N1537">
            <v>0</v>
          </cell>
          <cell r="O1537">
            <v>26.321999999999999</v>
          </cell>
          <cell r="P1537">
            <v>67.516999999999996</v>
          </cell>
          <cell r="Q1537">
            <v>28.513000000000002</v>
          </cell>
          <cell r="R1537">
            <v>0</v>
          </cell>
          <cell r="S1537">
            <v>0</v>
          </cell>
          <cell r="T1537">
            <v>28.513000000000002</v>
          </cell>
          <cell r="U1537">
            <v>0</v>
          </cell>
          <cell r="V1537">
            <v>202.56200000000001</v>
          </cell>
        </row>
        <row r="1538">
          <cell r="D1538" t="str">
            <v>HQ-Total - XOM Employee SWB, M$</v>
          </cell>
          <cell r="E1538">
            <v>23.722000000000001</v>
          </cell>
          <cell r="F1538">
            <v>0</v>
          </cell>
          <cell r="G1538">
            <v>23.722000000000001</v>
          </cell>
          <cell r="H1538">
            <v>19.122</v>
          </cell>
          <cell r="I1538">
            <v>37.366</v>
          </cell>
          <cell r="J1538">
            <v>0</v>
          </cell>
          <cell r="K1538">
            <v>0</v>
          </cell>
          <cell r="L1538">
            <v>37.366</v>
          </cell>
          <cell r="M1538">
            <v>26.321999999999999</v>
          </cell>
          <cell r="N1538">
            <v>0</v>
          </cell>
          <cell r="O1538">
            <v>26.321999999999999</v>
          </cell>
          <cell r="P1538">
            <v>67.516999999999996</v>
          </cell>
          <cell r="Q1538">
            <v>28.513000000000002</v>
          </cell>
          <cell r="R1538">
            <v>0</v>
          </cell>
          <cell r="S1538">
            <v>0</v>
          </cell>
          <cell r="T1538">
            <v>28.513000000000002</v>
          </cell>
          <cell r="U1538">
            <v>0</v>
          </cell>
          <cell r="V1538">
            <v>202.56200000000001</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-202.56200000000004</v>
          </cell>
          <cell r="V1550">
            <v>-202.56200000000004</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-5.2910000000000004</v>
          </cell>
          <cell r="V1554">
            <v>-5.2910000000000004</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-5.2910000000000004</v>
          </cell>
          <cell r="V1568">
            <v>-5.2910000000000004</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0.1247770440498201</v>
          </cell>
        </row>
        <row r="9">
          <cell r="D9" t="str">
            <v>MEXICO-Research &amp; Engineering, M$</v>
          </cell>
          <cell r="E9">
            <v>2.6209999999999991</v>
          </cell>
        </row>
        <row r="10">
          <cell r="D10" t="str">
            <v>MEXICO-Shared Services, Included in Total OPEX, M$</v>
          </cell>
          <cell r="E10">
            <v>9.2428980006487613</v>
          </cell>
        </row>
        <row r="11">
          <cell r="D11" t="str">
            <v>MEXICO- TOTAL OPEX, B.T., M$</v>
          </cell>
          <cell r="E11">
            <v>41.696686050647941</v>
          </cell>
        </row>
        <row r="12">
          <cell r="D12" t="str">
            <v>UNITED STATES-Global HQ Cost / Trademark Agreement (Sponsorship Expense), M$</v>
          </cell>
          <cell r="E12">
            <v>54.907535989566391</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59.909719500000008</v>
          </cell>
        </row>
        <row r="17">
          <cell r="D17" t="str">
            <v>UNITED STATES- TOTAL OPEX, B.T., M$</v>
          </cell>
          <cell r="E17">
            <v>600.93791332379089</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9.0052399999999988</v>
          </cell>
        </row>
        <row r="35">
          <cell r="D35" t="str">
            <v>NORTH AMERICA ADJ- TOTAL OPEX, B.T., M$</v>
          </cell>
          <cell r="E35">
            <v>8.3951199999999986</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8.8658942952637168E-2</v>
          </cell>
        </row>
        <row r="39">
          <cell r="D39" t="str">
            <v>ARGENTINA-Research &amp; Engineering, M$</v>
          </cell>
          <cell r="E39">
            <v>0.58700000000000008</v>
          </cell>
        </row>
        <row r="40">
          <cell r="D40" t="str">
            <v>ARGENTINA-Shared Services, Included in Total OPEX, M$</v>
          </cell>
          <cell r="E40">
            <v>2.6406868023056607</v>
          </cell>
        </row>
        <row r="41">
          <cell r="D41" t="str">
            <v>ARGENTINA- TOTAL OPEX, B.T., M$</v>
          </cell>
          <cell r="E41">
            <v>11.814114418845715</v>
          </cell>
        </row>
        <row r="42">
          <cell r="D42" t="str">
            <v>BRAZIL-Global HQ Cost / Trademark Agreement (Sponsorship Expense), M$</v>
          </cell>
          <cell r="E42">
            <v>6.5666120000000001</v>
          </cell>
        </row>
        <row r="43">
          <cell r="D43" t="str">
            <v>BRAZIL-Other Earnings Events OPEX, B.T., M$</v>
          </cell>
          <cell r="E43">
            <v>0</v>
          </cell>
        </row>
        <row r="44">
          <cell r="D44" t="str">
            <v>BRAZIL-Regional Head Office Cost, M$</v>
          </cell>
          <cell r="E44">
            <v>0.19779169495808782</v>
          </cell>
        </row>
        <row r="45">
          <cell r="D45" t="str">
            <v>BRAZIL-Research &amp; Engineering, M$</v>
          </cell>
          <cell r="E45">
            <v>1.86</v>
          </cell>
        </row>
        <row r="46">
          <cell r="D46" t="str">
            <v>BRAZIL-Shared Services, Included in Total OPEX, M$</v>
          </cell>
          <cell r="E46">
            <v>7.5183000765049943</v>
          </cell>
        </row>
        <row r="47">
          <cell r="D47" t="str">
            <v>BRAZIL- TOTAL OPEX, B.T., M$</v>
          </cell>
          <cell r="E47">
            <v>43.961976716310062</v>
          </cell>
        </row>
        <row r="48">
          <cell r="D48" t="str">
            <v>CARIBBEAN [LS]-Global HQ Cost / Trademark Agreement (Sponsorship Expense), M$</v>
          </cell>
          <cell r="E48">
            <v>1.0880000000000001</v>
          </cell>
        </row>
        <row r="49">
          <cell r="D49" t="str">
            <v>CARIBBEAN [LS]-Other Earnings Events OPEX, B.T., M$</v>
          </cell>
          <cell r="E49">
            <v>0</v>
          </cell>
        </row>
        <row r="50">
          <cell r="D50" t="str">
            <v>CARIBBEAN [LS]-Regional Head Office Cost, M$</v>
          </cell>
          <cell r="E50">
            <v>5.6233886769103845E-3</v>
          </cell>
        </row>
        <row r="51">
          <cell r="D51" t="str">
            <v>CARIBBEAN [LS]-Research &amp; Engineering, M$</v>
          </cell>
          <cell r="E51">
            <v>0.434</v>
          </cell>
        </row>
        <row r="52">
          <cell r="D52" t="str">
            <v>CARIBBEAN [LS]-Shared Services, Included in Total OPEX, M$</v>
          </cell>
          <cell r="E52">
            <v>0.68185359999999995</v>
          </cell>
        </row>
        <row r="53">
          <cell r="D53" t="str">
            <v>CARIBBEAN [LS]- TOTAL OPEX, B.T., M$</v>
          </cell>
          <cell r="E53">
            <v>7.2454197349736003</v>
          </cell>
        </row>
        <row r="54">
          <cell r="D54" t="str">
            <v>CENTAM [LS]-Global HQ Cost / Trademark Agreement (Sponsorship Expense), M$</v>
          </cell>
          <cell r="E54">
            <v>0.79300000000000004</v>
          </cell>
        </row>
        <row r="55">
          <cell r="D55" t="str">
            <v>CENTAM [LS]-Other Earnings Events OPEX, B.T., M$</v>
          </cell>
          <cell r="E55">
            <v>0</v>
          </cell>
        </row>
        <row r="56">
          <cell r="D56" t="str">
            <v>CENTAM [LS]-Regional Head Office Cost, M$</v>
          </cell>
          <cell r="E56">
            <v>2.4520833926508393E-2</v>
          </cell>
        </row>
        <row r="57">
          <cell r="D57" t="str">
            <v>CENTAM [LS]-Research &amp; Engineering, M$</v>
          </cell>
          <cell r="E57">
            <v>0.56899999999999995</v>
          </cell>
        </row>
        <row r="58">
          <cell r="D58" t="str">
            <v>CENTAM [LS]-Shared Services, Included in Total OPEX, M$</v>
          </cell>
          <cell r="E58">
            <v>1.1933696224353982</v>
          </cell>
        </row>
        <row r="59">
          <cell r="D59" t="str">
            <v>CENTAM [LS]- TOTAL OPEX, B.T., M$</v>
          </cell>
          <cell r="E59">
            <v>9.2209020531323613</v>
          </cell>
        </row>
        <row r="60">
          <cell r="D60" t="str">
            <v>CHILE-Global HQ Cost / Trademark Agreement (Sponsorship Expense), M$</v>
          </cell>
          <cell r="E60">
            <v>1.8000000000000002E-2</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0.69498837336814634</v>
          </cell>
        </row>
        <row r="66">
          <cell r="D66" t="str">
            <v>COLOMBIA-Global HQ Cost / Trademark Agreement (Sponsorship Expense), M$</v>
          </cell>
          <cell r="E66">
            <v>2.0109519999999996</v>
          </cell>
        </row>
        <row r="67">
          <cell r="D67" t="str">
            <v>COLOMBIA-Other Earnings Events OPEX, B.T., M$</v>
          </cell>
          <cell r="E67">
            <v>0</v>
          </cell>
        </row>
        <row r="68">
          <cell r="D68" t="str">
            <v>COLOMBIA-Regional Head Office Cost, M$</v>
          </cell>
          <cell r="E68">
            <v>2.1931218689241649E-2</v>
          </cell>
        </row>
        <row r="69">
          <cell r="D69" t="str">
            <v>COLOMBIA-Research &amp; Engineering, M$</v>
          </cell>
          <cell r="E69">
            <v>1.079</v>
          </cell>
        </row>
        <row r="70">
          <cell r="D70" t="str">
            <v>COLOMBIA-Shared Services, Included in Total OPEX, M$</v>
          </cell>
          <cell r="E70">
            <v>5.6012912441887561</v>
          </cell>
        </row>
        <row r="71">
          <cell r="D71" t="str">
            <v>COLOMBIA- TOTAL OPEX, B.T., M$</v>
          </cell>
          <cell r="E71">
            <v>27.432056899442951</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3.0860059812313091E-2</v>
          </cell>
        </row>
        <row r="75">
          <cell r="D75" t="str">
            <v>COPEC-Research &amp; Engineering, M$</v>
          </cell>
          <cell r="E75">
            <v>0</v>
          </cell>
        </row>
        <row r="76">
          <cell r="D76" t="str">
            <v>COPEC-Shared Services, Included in Total OPEX, M$</v>
          </cell>
          <cell r="E76">
            <v>0</v>
          </cell>
        </row>
        <row r="77">
          <cell r="D77" t="str">
            <v>COPEC- TOTAL OPEX, B.T., M$</v>
          </cell>
          <cell r="E77">
            <v>0.69622013242487535</v>
          </cell>
        </row>
        <row r="78">
          <cell r="D78" t="str">
            <v>ECUADOR-Global HQ Cost / Trademark Agreement (Sponsorship Expense), M$</v>
          </cell>
          <cell r="E78">
            <v>0.41895999999999994</v>
          </cell>
        </row>
        <row r="79">
          <cell r="D79" t="str">
            <v>ECUADOR-Other Earnings Events OPEX, B.T., M$</v>
          </cell>
          <cell r="E79">
            <v>0</v>
          </cell>
        </row>
        <row r="80">
          <cell r="D80" t="str">
            <v>ECUADOR-Regional Head Office Cost, M$</v>
          </cell>
          <cell r="E80">
            <v>3.5961560894234863E-2</v>
          </cell>
        </row>
        <row r="81">
          <cell r="D81" t="str">
            <v>ECUADOR-Research &amp; Engineering, M$</v>
          </cell>
          <cell r="E81">
            <v>0.21200000000000002</v>
          </cell>
        </row>
        <row r="82">
          <cell r="D82" t="str">
            <v>ECUADOR-Shared Services, Included in Total OPEX, M$</v>
          </cell>
          <cell r="E82">
            <v>0.6875608753992396</v>
          </cell>
        </row>
        <row r="83">
          <cell r="D83" t="str">
            <v>ECUADOR- TOTAL OPEX, B.T., M$</v>
          </cell>
          <cell r="E83">
            <v>3.0991879617912583</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5.0000000000000001E-3</v>
          </cell>
        </row>
        <row r="89">
          <cell r="D89" t="str">
            <v>PARAGUAY- TOTAL OPEX, B.T., M$</v>
          </cell>
          <cell r="E89">
            <v>0.17356242204170388</v>
          </cell>
        </row>
        <row r="90">
          <cell r="D90" t="str">
            <v>PERU-Global HQ Cost / Trademark Agreement (Sponsorship Expense), M$</v>
          </cell>
          <cell r="E90">
            <v>0.73481439999999998</v>
          </cell>
        </row>
        <row r="91">
          <cell r="D91" t="str">
            <v>PERU-Other Earnings Events OPEX, B.T., M$</v>
          </cell>
          <cell r="E91">
            <v>0</v>
          </cell>
        </row>
        <row r="92">
          <cell r="D92" t="str">
            <v>PERU-Regional Head Office Cost, M$</v>
          </cell>
          <cell r="E92">
            <v>6.0045639961899017E-2</v>
          </cell>
        </row>
        <row r="93">
          <cell r="D93" t="str">
            <v>PERU-Research &amp; Engineering, M$</v>
          </cell>
          <cell r="E93">
            <v>0.41</v>
          </cell>
        </row>
        <row r="94">
          <cell r="D94" t="str">
            <v>PERU-Shared Services, Included in Total OPEX, M$</v>
          </cell>
          <cell r="E94">
            <v>2.4333281595263094</v>
          </cell>
        </row>
        <row r="95">
          <cell r="D95" t="str">
            <v>PERU- TOTAL OPEX, B.T., M$</v>
          </cell>
          <cell r="E95">
            <v>11.989480484237168</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5.0000000000000001E-3</v>
          </cell>
        </row>
        <row r="107">
          <cell r="D107" t="str">
            <v>URUGUAY- TOTAL OPEX, B.T., M$</v>
          </cell>
          <cell r="E107">
            <v>0.62693218410795692</v>
          </cell>
        </row>
        <row r="108">
          <cell r="D108" t="str">
            <v>VENEZUELA-Global HQ Cost / Trademark Agreement (Sponsorship Expense), M$</v>
          </cell>
          <cell r="E108">
            <v>0.66547880000000004</v>
          </cell>
        </row>
        <row r="109">
          <cell r="D109" t="str">
            <v>VENEZUELA-Other Earnings Events OPEX, B.T., M$</v>
          </cell>
          <cell r="E109">
            <v>0</v>
          </cell>
        </row>
        <row r="110">
          <cell r="D110" t="str">
            <v>VENEZUELA-Regional Head Office Cost, M$</v>
          </cell>
          <cell r="E110">
            <v>2.0125522233251206E-2</v>
          </cell>
        </row>
        <row r="111">
          <cell r="D111" t="str">
            <v>VENEZUELA-Research &amp; Engineering, M$</v>
          </cell>
          <cell r="E111">
            <v>0.30299999999999994</v>
          </cell>
        </row>
        <row r="112">
          <cell r="D112" t="str">
            <v>VENEZUELA-Shared Services, Included in Total OPEX, M$</v>
          </cell>
          <cell r="E112">
            <v>1.7652420740168562</v>
          </cell>
        </row>
        <row r="113">
          <cell r="D113" t="str">
            <v>VENEZUELA- TOTAL OPEX, B.T., M$</v>
          </cell>
          <cell r="E113">
            <v>6.3094794040261801</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-0.10849999999999999</v>
          </cell>
        </row>
        <row r="132">
          <cell r="D132" t="str">
            <v>IOL-Global HQ Cost / Trademark Agreement (Sponsorship Expense), M$</v>
          </cell>
          <cell r="E132">
            <v>2.1857662416000005</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17.437189584304988</v>
          </cell>
        </row>
        <row r="137">
          <cell r="D137" t="str">
            <v>IOL- TOTAL OPEX, B.T., M$</v>
          </cell>
          <cell r="E137">
            <v>107.20944262328383</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1.1229999999999998</v>
          </cell>
        </row>
        <row r="159">
          <cell r="D159" t="str">
            <v>AUSTRIA-Research &amp; Engineering, M$</v>
          </cell>
          <cell r="E159">
            <v>0</v>
          </cell>
        </row>
        <row r="160">
          <cell r="D160" t="str">
            <v>AUSTRIA-Shared Services, Included in Total OPEX, M$</v>
          </cell>
          <cell r="E160">
            <v>1.5070000000000001</v>
          </cell>
        </row>
        <row r="161">
          <cell r="D161" t="str">
            <v>AUSTRIA- TOTAL OPEX, B.T., M$</v>
          </cell>
          <cell r="E161">
            <v>17.5230728650793</v>
          </cell>
        </row>
        <row r="162">
          <cell r="D162" t="str">
            <v>BALKANS-Global HQ Cost / Trademark Agreement (Sponsorship Expense), M$</v>
          </cell>
          <cell r="E162">
            <v>0.20600000000000002</v>
          </cell>
        </row>
        <row r="163">
          <cell r="D163" t="str">
            <v>BALKANS-Other Earnings Events OPEX, B.T., M$</v>
          </cell>
          <cell r="E163">
            <v>0</v>
          </cell>
        </row>
        <row r="164">
          <cell r="D164" t="str">
            <v>BALKANS-Regional Head Office Cost, M$</v>
          </cell>
          <cell r="E164">
            <v>0.53100000000000003</v>
          </cell>
        </row>
        <row r="165">
          <cell r="D165" t="str">
            <v>BALKANS-Research &amp; Engineering, M$</v>
          </cell>
          <cell r="E165">
            <v>7.9311475409836081E-3</v>
          </cell>
        </row>
        <row r="166">
          <cell r="D166" t="str">
            <v>BALKANS-Shared Services, Included in Total OPEX, M$</v>
          </cell>
          <cell r="E166">
            <v>0.112</v>
          </cell>
        </row>
        <row r="167">
          <cell r="D167" t="str">
            <v>BALKANS- TOTAL OPEX, B.T., M$</v>
          </cell>
          <cell r="E167">
            <v>7.4341851475409833</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7.3940000000000001</v>
          </cell>
        </row>
        <row r="171">
          <cell r="D171" t="str">
            <v>BENELUX-Research &amp; Engineering, M$</v>
          </cell>
          <cell r="E171">
            <v>1.1140000000000001</v>
          </cell>
        </row>
        <row r="172">
          <cell r="D172" t="str">
            <v>BENELUX-Shared Services, Included in Total OPEX, M$</v>
          </cell>
          <cell r="E172">
            <v>10.019000000000002</v>
          </cell>
        </row>
        <row r="173">
          <cell r="D173" t="str">
            <v>BENELUX- TOTAL OPEX, B.T., M$</v>
          </cell>
          <cell r="E173">
            <v>56.649659361269009</v>
          </cell>
        </row>
        <row r="174">
          <cell r="D174" t="str">
            <v>CTRL ASIA / CAUCASUS-Global HQ Cost / Trademark Agreement (Sponsorship Expense), M$</v>
          </cell>
          <cell r="E174">
            <v>5.5E-2</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3.3E-3</v>
          </cell>
        </row>
        <row r="178">
          <cell r="D178" t="str">
            <v>CTRL ASIA / CAUCASUS-Shared Services, Included in Total OPEX, M$</v>
          </cell>
          <cell r="E178">
            <v>1.7000000000000001E-2</v>
          </cell>
        </row>
        <row r="179">
          <cell r="D179" t="str">
            <v>CTRL ASIA / CAUCASUS- TOTAL OPEX, B.T., M$</v>
          </cell>
          <cell r="E179">
            <v>1.8273713360099997</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0.48800000000000004</v>
          </cell>
        </row>
        <row r="183">
          <cell r="D183" t="str">
            <v>CZECHIA-Research &amp; Engineering, M$</v>
          </cell>
          <cell r="E183">
            <v>0.17200000000000001</v>
          </cell>
        </row>
        <row r="184">
          <cell r="D184" t="str">
            <v>CZECHIA-Shared Services, Included in Total OPEX, M$</v>
          </cell>
          <cell r="E184">
            <v>0.877</v>
          </cell>
        </row>
        <row r="185">
          <cell r="D185" t="str">
            <v>CZECHIA- TOTAL OPEX, B.T., M$</v>
          </cell>
          <cell r="E185">
            <v>6.2399640000000005</v>
          </cell>
        </row>
        <row r="186">
          <cell r="D186" t="str">
            <v>DENMARK-Global HQ Cost / Trademark Agreement (Sponsorship Expense), M$</v>
          </cell>
          <cell r="E186">
            <v>0.88800000000000001</v>
          </cell>
        </row>
        <row r="187">
          <cell r="D187" t="str">
            <v>DENMARK-Other Earnings Events OPEX, B.T., M$</v>
          </cell>
          <cell r="E187">
            <v>0</v>
          </cell>
        </row>
        <row r="188">
          <cell r="D188" t="str">
            <v>DENMARK-Regional Head Office Cost, M$</v>
          </cell>
          <cell r="E188">
            <v>0.98299999999999998</v>
          </cell>
        </row>
        <row r="189">
          <cell r="D189" t="str">
            <v>DENMARK-Research &amp; Engineering, M$</v>
          </cell>
          <cell r="E189">
            <v>0.33</v>
          </cell>
        </row>
        <row r="190">
          <cell r="D190" t="str">
            <v>DENMARK-Shared Services, Included in Total OPEX, M$</v>
          </cell>
          <cell r="E190">
            <v>1.8120000000000001</v>
          </cell>
        </row>
        <row r="191">
          <cell r="D191" t="str">
            <v>DENMARK- TOTAL OPEX, B.T., M$</v>
          </cell>
          <cell r="E191">
            <v>8.8404381586000014</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2.4009999999999998</v>
          </cell>
        </row>
        <row r="195">
          <cell r="D195" t="str">
            <v>FINLAND-Research &amp; Engineering, M$</v>
          </cell>
          <cell r="E195">
            <v>0.6429999999999999</v>
          </cell>
        </row>
        <row r="196">
          <cell r="D196" t="str">
            <v>FINLAND-Shared Services, Included in Total OPEX, M$</v>
          </cell>
          <cell r="E196">
            <v>3.9479999999999991</v>
          </cell>
        </row>
        <row r="197">
          <cell r="D197" t="str">
            <v>FINLAND- TOTAL OPEX, B.T., M$</v>
          </cell>
          <cell r="E197">
            <v>34.576220887998602</v>
          </cell>
        </row>
        <row r="198">
          <cell r="D198" t="str">
            <v>FRANCE-Global HQ Cost / Trademark Agreement (Sponsorship Expense), M$</v>
          </cell>
          <cell r="E198">
            <v>9.4390000000000001</v>
          </cell>
        </row>
        <row r="199">
          <cell r="D199" t="str">
            <v>FRANCE-Other Earnings Events OPEX, B.T., M$</v>
          </cell>
          <cell r="E199">
            <v>5.5</v>
          </cell>
        </row>
        <row r="200">
          <cell r="D200" t="str">
            <v>FRANCE-Regional Head Office Cost, M$</v>
          </cell>
          <cell r="E200">
            <v>14.867000000000001</v>
          </cell>
        </row>
        <row r="201">
          <cell r="D201" t="str">
            <v>FRANCE-Research &amp; Engineering, M$</v>
          </cell>
          <cell r="E201">
            <v>4.4749999999999996</v>
          </cell>
        </row>
        <row r="202">
          <cell r="D202" t="str">
            <v>FRANCE-Shared Services, Included in Total OPEX, M$</v>
          </cell>
          <cell r="E202">
            <v>23.561999999999998</v>
          </cell>
        </row>
        <row r="203">
          <cell r="D203" t="str">
            <v>FRANCE- TOTAL OPEX, B.T., M$</v>
          </cell>
          <cell r="E203">
            <v>218.24170790835041</v>
          </cell>
        </row>
        <row r="204">
          <cell r="D204" t="str">
            <v>GERMANY-Global HQ Cost / Trademark Agreement (Sponsorship Expense), M$</v>
          </cell>
          <cell r="E204">
            <v>12.468999999999999</v>
          </cell>
        </row>
        <row r="205">
          <cell r="D205" t="str">
            <v>GERMANY-Other Earnings Events OPEX, B.T., M$</v>
          </cell>
          <cell r="E205">
            <v>5.3</v>
          </cell>
        </row>
        <row r="206">
          <cell r="D206" t="str">
            <v>GERMANY-Regional Head Office Cost, M$</v>
          </cell>
          <cell r="E206">
            <v>11.412000000000001</v>
          </cell>
        </row>
        <row r="207">
          <cell r="D207" t="str">
            <v>GERMANY-Research &amp; Engineering, M$</v>
          </cell>
          <cell r="E207">
            <v>3.7709999999999999</v>
          </cell>
        </row>
        <row r="208">
          <cell r="D208" t="str">
            <v>GERMANY-Shared Services, Included in Total OPEX, M$</v>
          </cell>
          <cell r="E208">
            <v>16.010462433556935</v>
          </cell>
        </row>
        <row r="209">
          <cell r="D209" t="str">
            <v>GERMANY- TOTAL OPEX, B.T., M$</v>
          </cell>
          <cell r="E209">
            <v>130.86428795294341</v>
          </cell>
        </row>
        <row r="210">
          <cell r="D210" t="str">
            <v>GREECE-Global HQ Cost / Trademark Agreement (Sponsorship Expense), M$</v>
          </cell>
          <cell r="E210">
            <v>1.0639999999999998</v>
          </cell>
        </row>
        <row r="211">
          <cell r="D211" t="str">
            <v>GREECE-Other Earnings Events OPEX, B.T., M$</v>
          </cell>
          <cell r="E211">
            <v>0</v>
          </cell>
        </row>
        <row r="212">
          <cell r="D212" t="str">
            <v>GREECE-Regional Head Office Cost, M$</v>
          </cell>
          <cell r="E212">
            <v>0.70899999999999996</v>
          </cell>
        </row>
        <row r="213">
          <cell r="D213" t="str">
            <v>GREECE-Research &amp; Engineering, M$</v>
          </cell>
          <cell r="E213">
            <v>0.44699999999999995</v>
          </cell>
        </row>
        <row r="214">
          <cell r="D214" t="str">
            <v>GREECE-Shared Services, Included in Total OPEX, M$</v>
          </cell>
          <cell r="E214">
            <v>1.2849999999999999</v>
          </cell>
        </row>
        <row r="215">
          <cell r="D215" t="str">
            <v>GREECE- TOTAL OPEX, B.T., M$</v>
          </cell>
          <cell r="E215">
            <v>-0.59890299999999941</v>
          </cell>
        </row>
        <row r="216">
          <cell r="D216" t="str">
            <v>HUNGARY-Global HQ Cost / Trademark Agreement (Sponsorship Expense), M$</v>
          </cell>
          <cell r="E216">
            <v>1.8209999999999997</v>
          </cell>
        </row>
        <row r="217">
          <cell r="D217" t="str">
            <v>HUNGARY-Other Earnings Events OPEX, B.T., M$</v>
          </cell>
          <cell r="E217">
            <v>0</v>
          </cell>
        </row>
        <row r="218">
          <cell r="D218" t="str">
            <v>HUNGARY-Regional Head Office Cost, M$</v>
          </cell>
          <cell r="E218">
            <v>0.435</v>
          </cell>
        </row>
        <row r="219">
          <cell r="D219" t="str">
            <v>HUNGARY-Research &amp; Engineering, M$</v>
          </cell>
          <cell r="E219">
            <v>7.9999999999999984E-3</v>
          </cell>
        </row>
        <row r="220">
          <cell r="D220" t="str">
            <v>HUNGARY-Shared Services, Included in Total OPEX, M$</v>
          </cell>
          <cell r="E220">
            <v>1.5240000000000002</v>
          </cell>
        </row>
        <row r="221">
          <cell r="D221" t="str">
            <v>HUNGARY- TOTAL OPEX, B.T., M$</v>
          </cell>
          <cell r="E221">
            <v>11.166710999999999</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7.8110000000000008</v>
          </cell>
        </row>
        <row r="225">
          <cell r="D225" t="str">
            <v>ITALY-Research &amp; Engineering, M$</v>
          </cell>
          <cell r="E225">
            <v>3.1560000000000001</v>
          </cell>
        </row>
        <row r="226">
          <cell r="D226" t="str">
            <v>ITALY-Shared Services, Included in Total OPEX, M$</v>
          </cell>
          <cell r="E226">
            <v>10.123000000000001</v>
          </cell>
        </row>
        <row r="227">
          <cell r="D227" t="str">
            <v>ITALY- TOTAL OPEX, B.T., M$</v>
          </cell>
          <cell r="E227">
            <v>82.769600703329615</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2.2480000000000002</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7.1930000000000014</v>
          </cell>
        </row>
        <row r="239">
          <cell r="D239" t="str">
            <v>NORWAY- TOTAL OPEX, B.T., M$</v>
          </cell>
          <cell r="E239">
            <v>20.550807859712602</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0.43613299999999999</v>
          </cell>
        </row>
        <row r="244">
          <cell r="D244" t="str">
            <v>POLAND-Shared Services, Included in Total OPEX, M$</v>
          </cell>
          <cell r="E244">
            <v>2.9318809999999997</v>
          </cell>
        </row>
        <row r="245">
          <cell r="D245" t="str">
            <v>POLAND- TOTAL OPEX, B.T., M$</v>
          </cell>
          <cell r="E245">
            <v>21.762903881256705</v>
          </cell>
        </row>
        <row r="246">
          <cell r="D246" t="str">
            <v>PORTUGAL-Global HQ Cost / Trademark Agreement (Sponsorship Expense), M$</v>
          </cell>
          <cell r="E246">
            <v>0.39144100000000004</v>
          </cell>
        </row>
        <row r="247">
          <cell r="D247" t="str">
            <v>PORTUGAL-Other Earnings Events OPEX, B.T., M$</v>
          </cell>
          <cell r="E247">
            <v>0</v>
          </cell>
        </row>
        <row r="248">
          <cell r="D248" t="str">
            <v>PORTUGAL-Regional Head Office Cost, M$</v>
          </cell>
          <cell r="E248">
            <v>0.73330800000000018</v>
          </cell>
        </row>
        <row r="249">
          <cell r="D249" t="str">
            <v>PORTUGAL-Research &amp; Engineering, M$</v>
          </cell>
          <cell r="E249">
            <v>0.21</v>
          </cell>
        </row>
        <row r="250">
          <cell r="D250" t="str">
            <v>PORTUGAL-Shared Services, Included in Total OPEX, M$</v>
          </cell>
          <cell r="E250">
            <v>1.4771399999999999</v>
          </cell>
        </row>
        <row r="251">
          <cell r="D251" t="str">
            <v>PORTUGAL- TOTAL OPEX, B.T., M$</v>
          </cell>
          <cell r="E251">
            <v>9.9223159841388995</v>
          </cell>
        </row>
        <row r="252">
          <cell r="D252" t="str">
            <v>RUSSIA-Global HQ Cost / Trademark Agreement (Sponsorship Expense), M$</v>
          </cell>
          <cell r="E252">
            <v>0.46080500000000002</v>
          </cell>
        </row>
        <row r="253">
          <cell r="D253" t="str">
            <v>RUSSIA-Other Earnings Events OPEX, B.T., M$</v>
          </cell>
          <cell r="E253">
            <v>0</v>
          </cell>
        </row>
        <row r="254">
          <cell r="D254" t="str">
            <v>RUSSIA-Regional Head Office Cost, M$</v>
          </cell>
          <cell r="E254">
            <v>1.5080030000000002</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18.380475000000001</v>
          </cell>
        </row>
        <row r="258">
          <cell r="D258" t="str">
            <v>SLOVAKIA-Global HQ Cost / Trademark Agreement (Sponsorship Expense), M$</v>
          </cell>
          <cell r="E258">
            <v>5.0906999999999994E-2</v>
          </cell>
        </row>
        <row r="259">
          <cell r="D259" t="str">
            <v>SLOVAKIA-Other Earnings Events OPEX, B.T., M$</v>
          </cell>
          <cell r="E259">
            <v>0</v>
          </cell>
        </row>
        <row r="260">
          <cell r="D260" t="str">
            <v>SLOVAKIA-Regional Head Office Cost, M$</v>
          </cell>
          <cell r="E260">
            <v>0.13661500000000001</v>
          </cell>
        </row>
        <row r="261">
          <cell r="D261" t="str">
            <v>SLOVAKIA-Research &amp; Engineering, M$</v>
          </cell>
          <cell r="E261">
            <v>2.2469999999999999E-3</v>
          </cell>
        </row>
        <row r="262">
          <cell r="D262" t="str">
            <v>SLOVAKIA-Shared Services, Included in Total OPEX, M$</v>
          </cell>
          <cell r="E262">
            <v>0.34377699999999989</v>
          </cell>
        </row>
        <row r="263">
          <cell r="D263" t="str">
            <v>SLOVAKIA- TOTAL OPEX, B.T., M$</v>
          </cell>
          <cell r="E263">
            <v>2.1378932500000003</v>
          </cell>
        </row>
        <row r="264">
          <cell r="D264" t="str">
            <v>SPAIN-Global HQ Cost / Trademark Agreement (Sponsorship Expense), M$</v>
          </cell>
          <cell r="E264">
            <v>1.8389709999999999</v>
          </cell>
        </row>
        <row r="265">
          <cell r="D265" t="str">
            <v>SPAIN-Other Earnings Events OPEX, B.T., M$</v>
          </cell>
          <cell r="E265">
            <v>0</v>
          </cell>
        </row>
        <row r="266">
          <cell r="D266" t="str">
            <v>SPAIN-Regional Head Office Cost, M$</v>
          </cell>
          <cell r="E266">
            <v>2.0608049999999998</v>
          </cell>
        </row>
        <row r="267">
          <cell r="D267" t="str">
            <v>SPAIN-Research &amp; Engineering, M$</v>
          </cell>
          <cell r="E267">
            <v>0.60600000000000009</v>
          </cell>
        </row>
        <row r="268">
          <cell r="D268" t="str">
            <v>SPAIN-Shared Services, Included in Total OPEX, M$</v>
          </cell>
          <cell r="E268">
            <v>3.4820829999999998</v>
          </cell>
        </row>
        <row r="269">
          <cell r="D269" t="str">
            <v>SPAIN- TOTAL OPEX, B.T., M$</v>
          </cell>
          <cell r="E269">
            <v>25.761338071324829</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2.0489999999999999</v>
          </cell>
        </row>
        <row r="273">
          <cell r="D273" t="str">
            <v>SWEDEN-Research &amp; Engineering, M$</v>
          </cell>
          <cell r="E273">
            <v>0.52500000000000002</v>
          </cell>
        </row>
        <row r="274">
          <cell r="D274" t="str">
            <v>SWEDEN-Shared Services, Included in Total OPEX, M$</v>
          </cell>
          <cell r="E274">
            <v>2.1240000000000001</v>
          </cell>
        </row>
        <row r="275">
          <cell r="D275" t="str">
            <v>SWEDEN- TOTAL OPEX, B.T., M$</v>
          </cell>
          <cell r="E275">
            <v>18.495775943943503</v>
          </cell>
        </row>
        <row r="276">
          <cell r="D276" t="str">
            <v>SWITZERLAND-Global HQ Cost / Trademark Agreement (Sponsorship Expense), M$</v>
          </cell>
          <cell r="E276">
            <v>0.35099999999999998</v>
          </cell>
        </row>
        <row r="277">
          <cell r="D277" t="str">
            <v>SWITZERLAND-Other Earnings Events OPEX, B.T., M$</v>
          </cell>
          <cell r="E277">
            <v>0</v>
          </cell>
        </row>
        <row r="278">
          <cell r="D278" t="str">
            <v>SWITZERLAND-Regional Head Office Cost, M$</v>
          </cell>
          <cell r="E278">
            <v>0.41100000000000003</v>
          </cell>
        </row>
        <row r="279">
          <cell r="D279" t="str">
            <v>SWITZERLAND-Research &amp; Engineering, M$</v>
          </cell>
          <cell r="E279">
            <v>0</v>
          </cell>
        </row>
        <row r="280">
          <cell r="D280" t="str">
            <v>SWITZERLAND-Shared Services, Included in Total OPEX, M$</v>
          </cell>
          <cell r="E280">
            <v>1.8210000000000002</v>
          </cell>
        </row>
        <row r="281">
          <cell r="D281" t="str">
            <v>SWITZERLAND- TOTAL OPEX, B.T., M$</v>
          </cell>
          <cell r="E281">
            <v>8.7771996494279989</v>
          </cell>
        </row>
        <row r="282">
          <cell r="D282" t="str">
            <v>TURKEY-Global HQ Cost / Trademark Agreement (Sponsorship Expense), M$</v>
          </cell>
          <cell r="E282">
            <v>1.4364539999999999</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5.136000000000001</v>
          </cell>
        </row>
        <row r="287">
          <cell r="D287" t="str">
            <v>TURKEY- TOTAL OPEX, B.T., M$</v>
          </cell>
          <cell r="E287">
            <v>28.716236887999997</v>
          </cell>
        </row>
        <row r="288">
          <cell r="D288" t="str">
            <v>UK-Global HQ Cost / Trademark Agreement (Sponsorship Expense), M$</v>
          </cell>
          <cell r="E288">
            <v>9.958000000000002</v>
          </cell>
        </row>
        <row r="289">
          <cell r="D289" t="str">
            <v>UK-Other Earnings Events OPEX, B.T., M$</v>
          </cell>
          <cell r="E289">
            <v>0</v>
          </cell>
        </row>
        <row r="290">
          <cell r="D290" t="str">
            <v>UK-Regional Head Office Cost, M$</v>
          </cell>
          <cell r="E290">
            <v>10.680999999999999</v>
          </cell>
        </row>
        <row r="291">
          <cell r="D291" t="str">
            <v>UK-Research &amp; Engineering, M$</v>
          </cell>
          <cell r="E291">
            <v>4.3330000000000002</v>
          </cell>
        </row>
        <row r="292">
          <cell r="D292" t="str">
            <v>UK-Shared Services, Included in Total OPEX, M$</v>
          </cell>
          <cell r="E292">
            <v>12.986999999999998</v>
          </cell>
        </row>
        <row r="293">
          <cell r="D293" t="str">
            <v>UK- TOTAL OPEX, B.T., M$</v>
          </cell>
          <cell r="E293">
            <v>129.71228991163429</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71.916330902548538</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2.9000500000000002</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17.812386999999998</v>
          </cell>
        </row>
        <row r="317">
          <cell r="D317" t="str">
            <v>EUROPE ADJ- TOTAL OPEX, B.T., M$</v>
          </cell>
          <cell r="E317">
            <v>-7.2375799999999977</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2.2999999999999998</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2.2000000000000002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3.4539999999999997</v>
          </cell>
        </row>
        <row r="390">
          <cell r="D390" t="str">
            <v>AUSTRALIA-Global HQ Cost / Trademark Agreement (Sponsorship Expense), M$</v>
          </cell>
          <cell r="E390">
            <v>3.9717999999999996</v>
          </cell>
        </row>
        <row r="391">
          <cell r="D391" t="str">
            <v>AUSTRALIA-Other Earnings Events OPEX, B.T., M$</v>
          </cell>
          <cell r="E391">
            <v>0</v>
          </cell>
        </row>
        <row r="392">
          <cell r="D392" t="str">
            <v>AUSTRALIA-Regional Head Office Cost, M$</v>
          </cell>
          <cell r="E392">
            <v>3.0774377212076276</v>
          </cell>
        </row>
        <row r="393">
          <cell r="D393" t="str">
            <v>AUSTRALIA-Research &amp; Engineering, M$</v>
          </cell>
          <cell r="E393">
            <v>2.0340000000000003</v>
          </cell>
        </row>
        <row r="394">
          <cell r="D394" t="str">
            <v>AUSTRALIA-Shared Services, Included in Total OPEX, M$</v>
          </cell>
          <cell r="E394">
            <v>7.6806769999999984</v>
          </cell>
        </row>
        <row r="395">
          <cell r="D395" t="str">
            <v>AUSTRALIA- TOTAL OPEX, B.T., M$</v>
          </cell>
          <cell r="E395">
            <v>123.03463125783767</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4.7469999999999999</v>
          </cell>
        </row>
        <row r="403">
          <cell r="D403" t="str">
            <v>CHINA-Other Earnings Events OPEX, B.T., M$</v>
          </cell>
          <cell r="E403">
            <v>0</v>
          </cell>
        </row>
        <row r="404">
          <cell r="D404" t="str">
            <v>CHINA-Regional Head Office Cost, M$</v>
          </cell>
          <cell r="E404">
            <v>4.6347792277432642</v>
          </cell>
        </row>
        <row r="405">
          <cell r="D405" t="str">
            <v>CHINA-Research &amp; Engineering, M$</v>
          </cell>
          <cell r="E405">
            <v>0.58699999999999997</v>
          </cell>
        </row>
        <row r="406">
          <cell r="D406" t="str">
            <v>CHINA-Shared Services, Included in Total OPEX, M$</v>
          </cell>
          <cell r="E406">
            <v>15.635491000009658</v>
          </cell>
        </row>
        <row r="407">
          <cell r="D407" t="str">
            <v>CHINA- TOTAL OPEX, B.T., M$</v>
          </cell>
          <cell r="E407">
            <v>74.842528081388082</v>
          </cell>
        </row>
        <row r="408">
          <cell r="D408" t="str">
            <v>GUAM-Global HQ Cost / Trademark Agreement (Sponsorship Expense), M$</v>
          </cell>
          <cell r="E408">
            <v>1E-3</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1.9091000372999998</v>
          </cell>
        </row>
        <row r="414">
          <cell r="D414" t="str">
            <v>INDIA-Global HQ Cost / Trademark Agreement (Sponsorship Expense), M$</v>
          </cell>
          <cell r="E414">
            <v>0.63200000000000012</v>
          </cell>
        </row>
        <row r="415">
          <cell r="D415" t="str">
            <v>INDIA-Other Earnings Events OPEX, B.T., M$</v>
          </cell>
          <cell r="E415">
            <v>0</v>
          </cell>
        </row>
        <row r="416">
          <cell r="D416" t="str">
            <v>INDIA-Regional Head Office Cost, M$</v>
          </cell>
          <cell r="E416">
            <v>0.83611241739170272</v>
          </cell>
        </row>
        <row r="417">
          <cell r="D417" t="str">
            <v>INDIA-Research &amp; Engineering, M$</v>
          </cell>
          <cell r="E417">
            <v>0</v>
          </cell>
        </row>
        <row r="418">
          <cell r="D418" t="str">
            <v>INDIA-Shared Services, Included in Total OPEX, M$</v>
          </cell>
          <cell r="E418">
            <v>2.9059999999999997</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0.61078007207648166</v>
          </cell>
        </row>
        <row r="423">
          <cell r="D423" t="str">
            <v>INDONESIA-Research &amp; Engineering, M$</v>
          </cell>
          <cell r="E423">
            <v>0.69799999999999995</v>
          </cell>
        </row>
        <row r="424">
          <cell r="D424" t="str">
            <v>INDONESIA-Shared Services, Included in Total OPEX, M$</v>
          </cell>
          <cell r="E424">
            <v>1.2952929632921553</v>
          </cell>
        </row>
        <row r="425">
          <cell r="D425" t="str">
            <v>INDONESIA- TOTAL OPEX, B.T., M$</v>
          </cell>
          <cell r="E425">
            <v>9.8615519517277814</v>
          </cell>
        </row>
        <row r="426">
          <cell r="D426" t="str">
            <v>JAPAN-Global HQ Cost / Trademark Agreement (Sponsorship Expense), M$</v>
          </cell>
          <cell r="E426">
            <v>12.542</v>
          </cell>
        </row>
        <row r="427">
          <cell r="D427" t="str">
            <v>JAPAN-Other Earnings Events OPEX, B.T., M$</v>
          </cell>
          <cell r="E427">
            <v>1.548704933824772</v>
          </cell>
        </row>
        <row r="428">
          <cell r="D428" t="str">
            <v>JAPAN-Regional Head Office Cost, M$</v>
          </cell>
          <cell r="E428">
            <v>5.6302290434369526</v>
          </cell>
        </row>
        <row r="429">
          <cell r="D429" t="str">
            <v>JAPAN-Research &amp; Engineering, M$</v>
          </cell>
          <cell r="E429">
            <v>4.0139999999999993</v>
          </cell>
        </row>
        <row r="430">
          <cell r="D430" t="str">
            <v>JAPAN-Shared Services, Included in Total OPEX, M$</v>
          </cell>
          <cell r="E430">
            <v>36.022300000000001</v>
          </cell>
        </row>
        <row r="431">
          <cell r="D431" t="str">
            <v>JAPAN- TOTAL OPEX, B.T., M$</v>
          </cell>
          <cell r="E431">
            <v>154.57218370015011</v>
          </cell>
        </row>
        <row r="432">
          <cell r="D432" t="str">
            <v>KOREA-Global HQ Cost / Trademark Agreement (Sponsorship Expense), M$</v>
          </cell>
          <cell r="E432">
            <v>1.2290000000000001</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1.4019999999999999</v>
          </cell>
        </row>
        <row r="437">
          <cell r="D437" t="str">
            <v>KOREA- TOTAL OPEX, B.T., M$</v>
          </cell>
          <cell r="E437">
            <v>12.776710000000001</v>
          </cell>
        </row>
        <row r="438">
          <cell r="D438" t="str">
            <v>MALAYSIA-Global HQ Cost / Trademark Agreement (Sponsorship Expense), M$</v>
          </cell>
          <cell r="E438">
            <v>1.1060000000000001</v>
          </cell>
        </row>
        <row r="439">
          <cell r="D439" t="str">
            <v>MALAYSIA-Other Earnings Events OPEX, B.T., M$</v>
          </cell>
          <cell r="E439">
            <v>0</v>
          </cell>
        </row>
        <row r="440">
          <cell r="D440" t="str">
            <v>MALAYSIA-Regional Head Office Cost, M$</v>
          </cell>
          <cell r="E440">
            <v>1.2133245952393932</v>
          </cell>
        </row>
        <row r="441">
          <cell r="D441" t="str">
            <v>MALAYSIA-Research &amp; Engineering, M$</v>
          </cell>
          <cell r="E441">
            <v>0.62900000000000011</v>
          </cell>
        </row>
        <row r="442">
          <cell r="D442" t="str">
            <v>MALAYSIA-Shared Services, Included in Total OPEX, M$</v>
          </cell>
          <cell r="E442">
            <v>2.1553184210526317</v>
          </cell>
        </row>
        <row r="443">
          <cell r="D443" t="str">
            <v>MALAYSIA- TOTAL OPEX, B.T., M$</v>
          </cell>
          <cell r="E443">
            <v>12.164802667532157</v>
          </cell>
        </row>
        <row r="444">
          <cell r="D444" t="str">
            <v>NEW ZEALAND-Global HQ Cost / Trademark Agreement (Sponsorship Expense), M$</v>
          </cell>
          <cell r="E444">
            <v>0.27299999999999996</v>
          </cell>
        </row>
        <row r="445">
          <cell r="D445" t="str">
            <v>NEW ZEALAND-Other Earnings Events OPEX, B.T., M$</v>
          </cell>
          <cell r="E445">
            <v>3.4895522388059717</v>
          </cell>
        </row>
        <row r="446">
          <cell r="D446" t="str">
            <v>NEW ZEALAND-Regional Head Office Cost, M$</v>
          </cell>
          <cell r="E446">
            <v>0.3463957320358525</v>
          </cell>
        </row>
        <row r="447">
          <cell r="D447" t="str">
            <v>NEW ZEALAND-Research &amp; Engineering, M$</v>
          </cell>
          <cell r="E447">
            <v>0.222</v>
          </cell>
        </row>
        <row r="448">
          <cell r="D448" t="str">
            <v>NEW ZEALAND-Shared Services, Included in Total OPEX, M$</v>
          </cell>
          <cell r="E448">
            <v>2.1275999999999997</v>
          </cell>
        </row>
        <row r="449">
          <cell r="D449" t="str">
            <v>NEW ZEALAND- TOTAL OPEX, B.T., M$</v>
          </cell>
          <cell r="E449">
            <v>13.006007806006656</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1.2509999999999999</v>
          </cell>
        </row>
        <row r="456">
          <cell r="D456" t="str">
            <v>PAKISTAN-Global HQ Cost / Trademark Agreement (Sponsorship Expense), M$</v>
          </cell>
          <cell r="E456">
            <v>0.13500000000000001</v>
          </cell>
        </row>
        <row r="457">
          <cell r="D457" t="str">
            <v>PAKISTAN-Other Earnings Events OPEX, B.T., M$</v>
          </cell>
          <cell r="E457">
            <v>0</v>
          </cell>
        </row>
        <row r="458">
          <cell r="D458" t="str">
            <v>PAKISTAN-Regional Head Office Cost, M$</v>
          </cell>
          <cell r="E458">
            <v>0.16860319868941215</v>
          </cell>
        </row>
        <row r="459">
          <cell r="D459" t="str">
            <v>PAKISTAN-Research &amp; Engineering, M$</v>
          </cell>
          <cell r="E459">
            <v>0</v>
          </cell>
        </row>
        <row r="460">
          <cell r="D460" t="str">
            <v>PAKISTAN-Shared Services, Included in Total OPEX, M$</v>
          </cell>
          <cell r="E460">
            <v>0.50600000000000001</v>
          </cell>
        </row>
        <row r="461">
          <cell r="D461" t="str">
            <v>PAKISTAN- TOTAL OPEX, B.T., M$</v>
          </cell>
          <cell r="E461">
            <v>2.8648184373211567</v>
          </cell>
        </row>
        <row r="462">
          <cell r="D462" t="str">
            <v>PHILIPPINES-Global HQ Cost / Trademark Agreement (Sponsorship Expense), M$</v>
          </cell>
          <cell r="E462">
            <v>9.1000000000000011E-2</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6.3E-2</v>
          </cell>
        </row>
        <row r="466">
          <cell r="D466" t="str">
            <v>PHILIPPINES-Shared Services, Included in Total OPEX, M$</v>
          </cell>
          <cell r="E466">
            <v>0.2792</v>
          </cell>
        </row>
        <row r="467">
          <cell r="D467" t="str">
            <v>PHILIPPINES- TOTAL OPEX, B.T., M$</v>
          </cell>
          <cell r="E467">
            <v>1.9942619450000001</v>
          </cell>
        </row>
        <row r="468">
          <cell r="D468" t="str">
            <v>SINGAPORE-Global HQ Cost / Trademark Agreement (Sponsorship Expense), M$</v>
          </cell>
          <cell r="E468">
            <v>3.8659999999999997</v>
          </cell>
        </row>
        <row r="469">
          <cell r="D469" t="str">
            <v>SINGAPORE-Other Earnings Events OPEX, B.T., M$</v>
          </cell>
          <cell r="E469">
            <v>0</v>
          </cell>
        </row>
        <row r="470">
          <cell r="D470" t="str">
            <v>SINGAPORE-Regional Head Office Cost, M$</v>
          </cell>
          <cell r="E470">
            <v>4.7984595492590714</v>
          </cell>
        </row>
        <row r="471">
          <cell r="D471" t="str">
            <v>SINGAPORE-Research &amp; Engineering, M$</v>
          </cell>
          <cell r="E471">
            <v>2.0039999999999996</v>
          </cell>
        </row>
        <row r="472">
          <cell r="D472" t="str">
            <v>SINGAPORE-Shared Services, Included in Total OPEX, M$</v>
          </cell>
          <cell r="E472">
            <v>4.7096729641769768</v>
          </cell>
        </row>
        <row r="473">
          <cell r="D473" t="str">
            <v>SINGAPORE- TOTAL OPEX, B.T., M$</v>
          </cell>
          <cell r="E473">
            <v>31.299641336362612</v>
          </cell>
        </row>
        <row r="474">
          <cell r="D474" t="str">
            <v>TAIWAN-Global HQ Cost / Trademark Agreement (Sponsorship Expense), M$</v>
          </cell>
          <cell r="E474">
            <v>1.0979999999999999</v>
          </cell>
        </row>
        <row r="475">
          <cell r="D475" t="str">
            <v>TAIWAN-Other Earnings Events OPEX, B.T., M$</v>
          </cell>
          <cell r="E475">
            <v>0</v>
          </cell>
        </row>
        <row r="476">
          <cell r="D476" t="str">
            <v>TAIWAN-Regional Head Office Cost, M$</v>
          </cell>
          <cell r="E476">
            <v>1.0087002619446295</v>
          </cell>
        </row>
        <row r="477">
          <cell r="D477" t="str">
            <v>TAIWAN-Research &amp; Engineering, M$</v>
          </cell>
          <cell r="E477">
            <v>0.45600000000000002</v>
          </cell>
        </row>
        <row r="478">
          <cell r="D478" t="str">
            <v>TAIWAN-Shared Services, Included in Total OPEX, M$</v>
          </cell>
          <cell r="E478">
            <v>2.6332999999999993</v>
          </cell>
        </row>
        <row r="479">
          <cell r="D479" t="str">
            <v>TAIWAN- TOTAL OPEX, B.T., M$</v>
          </cell>
          <cell r="E479">
            <v>13.746867283733815</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2.1238780344664527</v>
          </cell>
        </row>
        <row r="483">
          <cell r="D483" t="str">
            <v>THAILAND-Research &amp; Engineering, M$</v>
          </cell>
          <cell r="E483">
            <v>1.1529999999999996</v>
          </cell>
        </row>
        <row r="484">
          <cell r="D484" t="str">
            <v>THAILAND-Shared Services, Included in Total OPEX, M$</v>
          </cell>
          <cell r="E484">
            <v>6.816446341385058</v>
          </cell>
        </row>
        <row r="485">
          <cell r="D485" t="str">
            <v>THAILAND- TOTAL OPEX, B.T., M$</v>
          </cell>
          <cell r="E485">
            <v>29.164302088084856</v>
          </cell>
        </row>
        <row r="486">
          <cell r="D486" t="str">
            <v>VIETNAM-Global HQ Cost / Trademark Agreement (Sponsorship Expense), M$</v>
          </cell>
          <cell r="E486">
            <v>2.1000000000000001E-2</v>
          </cell>
        </row>
        <row r="487">
          <cell r="D487" t="str">
            <v>VIETNAM-Other Earnings Events OPEX, B.T., M$</v>
          </cell>
          <cell r="E487">
            <v>0</v>
          </cell>
        </row>
        <row r="488">
          <cell r="D488" t="str">
            <v>VIETNAM-Regional Head Office Cost, M$</v>
          </cell>
          <cell r="E488">
            <v>0.16158250827003084</v>
          </cell>
        </row>
        <row r="489">
          <cell r="D489" t="str">
            <v>VIETNAM-Research &amp; Engineering, M$</v>
          </cell>
          <cell r="E489">
            <v>0</v>
          </cell>
        </row>
        <row r="490">
          <cell r="D490" t="str">
            <v>VIETNAM-Shared Services, Included in Total OPEX, M$</v>
          </cell>
          <cell r="E490">
            <v>0.76823559531448926</v>
          </cell>
        </row>
        <row r="491">
          <cell r="D491" t="str">
            <v>VIETNAM- TOTAL OPEX, B.T., M$</v>
          </cell>
          <cell r="E491">
            <v>3.5789558080183839</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7.5110000000000028</v>
          </cell>
        </row>
        <row r="509">
          <cell r="D509" t="str">
            <v>ASIA-PACIFIC ADJ- TOTAL OPEX, B.T., M$</v>
          </cell>
          <cell r="E509">
            <v>11.824552726720402</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24943.040000000001</v>
          </cell>
          <cell r="D2">
            <v>0</v>
          </cell>
        </row>
        <row r="3">
          <cell r="A3" t="str">
            <v>AM</v>
          </cell>
          <cell r="B3" t="str">
            <v>Grativity</v>
          </cell>
          <cell r="C3">
            <v>16536.330000000002</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34794.959999999999</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5393627.6500000004</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326845.65000000002</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25141582.539999999</v>
          </cell>
          <cell r="C47">
            <v>0</v>
          </cell>
        </row>
        <row r="48">
          <cell r="B48">
            <v>19709692.32</v>
          </cell>
          <cell r="C48">
            <v>0</v>
          </cell>
        </row>
        <row r="49">
          <cell r="B49">
            <v>21820711.649999999</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4102.6099999999997</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138172.98000000001</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FORE99"/>
      <sheetName val="OD-INR"/>
      <sheetName val="Working"/>
      <sheetName val="TB"/>
      <sheetName val="GROUP CF"/>
      <sheetName val="Tax"/>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E 2"/>
      <sheetName val="cap&amp;dep"/>
      <sheetName val="Loan 1"/>
      <sheetName val="AR Drop Downs"/>
      <sheetName val="GRATIVITY"/>
      <sheetName val="HIRING"/>
      <sheetName val="MV-MAINTEN"/>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refreshError="1"/>
      <sheetData sheetId="20">
        <row r="3">
          <cell r="A3" t="str">
            <v>Rs 000</v>
          </cell>
        </row>
      </sheetData>
      <sheetData sheetId="21"/>
      <sheetData sheetId="22"/>
      <sheetData sheetId="23"/>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sheetData sheetId="92"/>
      <sheetData sheetId="93"/>
      <sheetData sheetId="94"/>
      <sheetData sheetId="95"/>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sheetData sheetId="129"/>
      <sheetData sheetId="130"/>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sheetData sheetId="177"/>
      <sheetData sheetId="178"/>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sheetData sheetId="369"/>
      <sheetData sheetId="370"/>
      <sheetData sheetId="371"/>
      <sheetData sheetId="372"/>
      <sheetData sheetId="373"/>
      <sheetData sheetId="374"/>
      <sheetData sheetId="375">
        <row r="3">
          <cell r="A3" t="str">
            <v>Rs 000</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sheetData sheetId="408"/>
      <sheetData sheetId="409"/>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refreshError="1"/>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row r="3">
          <cell r="A3" t="str">
            <v>Rs 000</v>
          </cell>
        </row>
      </sheetData>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0.18542802012633725</v>
          </cell>
        </row>
        <row r="10">
          <cell r="B10">
            <v>1.5452335010528104E-2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0</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0</v>
          </cell>
        </row>
        <row r="12">
          <cell r="A12" t="str">
            <v>DB006</v>
          </cell>
          <cell r="B12" t="str">
            <v>Vijitha Pharmacy</v>
          </cell>
          <cell r="C12">
            <v>3623120.8900000006</v>
          </cell>
          <cell r="D12">
            <v>1262187.4000000001</v>
          </cell>
          <cell r="E12">
            <v>898515.3</v>
          </cell>
          <cell r="F12">
            <v>345983.13</v>
          </cell>
          <cell r="G12">
            <v>0</v>
          </cell>
          <cell r="H12">
            <v>-104159</v>
          </cell>
        </row>
        <row r="13">
          <cell r="A13" t="str">
            <v>DB007</v>
          </cell>
          <cell r="B13" t="str">
            <v>Asoka Pharma</v>
          </cell>
          <cell r="C13">
            <v>3998429.7800000003</v>
          </cell>
          <cell r="D13">
            <v>1380161.8299999998</v>
          </cell>
          <cell r="E13">
            <v>0</v>
          </cell>
          <cell r="F13">
            <v>0</v>
          </cell>
          <cell r="G13">
            <v>0</v>
          </cell>
          <cell r="H13">
            <v>0</v>
          </cell>
        </row>
        <row r="14">
          <cell r="A14" t="str">
            <v>DB008</v>
          </cell>
          <cell r="B14" t="str">
            <v>CHL Marketing</v>
          </cell>
          <cell r="C14">
            <v>3446541.44</v>
          </cell>
          <cell r="D14">
            <v>94753.8</v>
          </cell>
          <cell r="E14">
            <v>776520.44000000006</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177411.84000000003</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3321339.5700000003</v>
          </cell>
          <cell r="D22">
            <v>383487.31000000011</v>
          </cell>
          <cell r="E22">
            <v>461782.52</v>
          </cell>
          <cell r="F22">
            <v>531451.90999999992</v>
          </cell>
          <cell r="G22">
            <v>0.4</v>
          </cell>
          <cell r="H22">
            <v>16114.13</v>
          </cell>
        </row>
        <row r="23">
          <cell r="A23" t="str">
            <v>DB017</v>
          </cell>
          <cell r="B23" t="str">
            <v>Mawarani Distributors,</v>
          </cell>
          <cell r="C23">
            <v>3097316.1700000004</v>
          </cell>
          <cell r="D23">
            <v>461884.71999999986</v>
          </cell>
          <cell r="E23">
            <v>972751.60999999987</v>
          </cell>
          <cell r="F23">
            <v>1627577.66</v>
          </cell>
          <cell r="G23">
            <v>-70865.239999999991</v>
          </cell>
          <cell r="H23">
            <v>-91239.660000000018</v>
          </cell>
        </row>
        <row r="24">
          <cell r="A24" t="str">
            <v>DB018</v>
          </cell>
          <cell r="B24" t="str">
            <v>S &amp; D Agencies,</v>
          </cell>
          <cell r="C24">
            <v>1999601.3699999999</v>
          </cell>
          <cell r="D24">
            <v>341520.51</v>
          </cell>
          <cell r="E24">
            <v>475320.24</v>
          </cell>
          <cell r="F24">
            <v>0.02</v>
          </cell>
          <cell r="G24">
            <v>719917.90999999992</v>
          </cell>
          <cell r="H24">
            <v>0</v>
          </cell>
        </row>
        <row r="25">
          <cell r="A25" t="str">
            <v>DB019</v>
          </cell>
          <cell r="B25" t="str">
            <v>Glenic Distributors,</v>
          </cell>
          <cell r="C25">
            <v>2661380.69</v>
          </cell>
          <cell r="D25">
            <v>257512.64999999997</v>
          </cell>
          <cell r="E25">
            <v>1719042.02</v>
          </cell>
          <cell r="F25">
            <v>3239640.5999999996</v>
          </cell>
          <cell r="G25">
            <v>1377674.13</v>
          </cell>
          <cell r="H25">
            <v>0</v>
          </cell>
        </row>
        <row r="26">
          <cell r="A26" t="str">
            <v>DB020</v>
          </cell>
          <cell r="B26" t="str">
            <v>Medicare</v>
          </cell>
          <cell r="C26">
            <v>3398335.0300000003</v>
          </cell>
          <cell r="D26">
            <v>325177.56</v>
          </cell>
          <cell r="E26">
            <v>502056</v>
          </cell>
          <cell r="F26">
            <v>381715.43</v>
          </cell>
          <cell r="G26">
            <v>0</v>
          </cell>
          <cell r="H26">
            <v>0</v>
          </cell>
        </row>
        <row r="28">
          <cell r="B28" t="str">
            <v>Total for Distributors</v>
          </cell>
          <cell r="C28">
            <v>31600035.350000005</v>
          </cell>
          <cell r="D28">
            <v>6397209.7599999998</v>
          </cell>
          <cell r="E28">
            <v>6960940.5399999991</v>
          </cell>
          <cell r="F28">
            <v>12426751.149999999</v>
          </cell>
          <cell r="G28">
            <v>3790144.0199999996</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64324.800000000003</v>
          </cell>
          <cell r="F48">
            <v>15993</v>
          </cell>
          <cell r="G48">
            <v>4864.5</v>
          </cell>
          <cell r="H48">
            <v>18625.599999999999</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1218.5999999999999</v>
          </cell>
          <cell r="F52">
            <v>20841.3</v>
          </cell>
          <cell r="G52">
            <v>0</v>
          </cell>
          <cell r="H52">
            <v>38921.919999999998</v>
          </cell>
        </row>
        <row r="53">
          <cell r="A53" t="str">
            <v>DI003</v>
          </cell>
          <cell r="B53" t="str">
            <v>Harcourts (Pvt) Ltd.</v>
          </cell>
        </row>
        <row r="54">
          <cell r="A54" t="str">
            <v>DI004</v>
          </cell>
          <cell r="B54" t="str">
            <v>Sathosa Super</v>
          </cell>
        </row>
        <row r="55">
          <cell r="A55" t="str">
            <v>DI005</v>
          </cell>
          <cell r="B55" t="str">
            <v>Medi Plus (Pvt) Ltd.</v>
          </cell>
          <cell r="C55">
            <v>51245.990000000005</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1935.6499999999999</v>
          </cell>
        </row>
        <row r="59">
          <cell r="A59" t="str">
            <v>DI009</v>
          </cell>
          <cell r="B59" t="str">
            <v>Cargills (Ceylon) Ltd.</v>
          </cell>
          <cell r="C59">
            <v>374182.19</v>
          </cell>
          <cell r="D59">
            <v>-33653.18</v>
          </cell>
          <cell r="E59">
            <v>823.2</v>
          </cell>
          <cell r="F59">
            <v>25714.799999999999</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11915.099999999999</v>
          </cell>
          <cell r="D61">
            <v>3871.8</v>
          </cell>
          <cell r="E61">
            <v>16121.7</v>
          </cell>
          <cell r="F61">
            <v>0</v>
          </cell>
          <cell r="G61">
            <v>324</v>
          </cell>
          <cell r="H61">
            <v>22258.079999999998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21329.559999999998</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22249.800000000003</v>
          </cell>
          <cell r="D85">
            <v>0</v>
          </cell>
          <cell r="E85">
            <v>0</v>
          </cell>
          <cell r="F85">
            <v>0</v>
          </cell>
          <cell r="G85">
            <v>0</v>
          </cell>
          <cell r="H85">
            <v>0</v>
          </cell>
        </row>
        <row r="86">
          <cell r="A86" t="str">
            <v>DI037</v>
          </cell>
          <cell r="B86" t="str">
            <v>King's Super Market</v>
          </cell>
          <cell r="C86">
            <v>10494.460000000001</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32694.74000000002</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33343535.720000006</v>
          </cell>
          <cell r="D98">
            <v>6371504.3300000001</v>
          </cell>
          <cell r="E98">
            <v>7050943.8399999989</v>
          </cell>
          <cell r="F98">
            <v>12554329.749999998</v>
          </cell>
          <cell r="G98">
            <v>3802002.6199999996</v>
          </cell>
          <cell r="H98">
            <v>440189.4</v>
          </cell>
        </row>
        <row r="100">
          <cell r="B100" t="str">
            <v>Security Deposits</v>
          </cell>
        </row>
        <row r="101">
          <cell r="B101" t="str">
            <v>Nugegoda Chemist</v>
          </cell>
          <cell r="G101">
            <v>-168913.58000000002</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33343535.720000006</v>
          </cell>
          <cell r="D109">
            <v>6371504.3300000001</v>
          </cell>
          <cell r="E109">
            <v>7050943.8399999989</v>
          </cell>
          <cell r="F109">
            <v>12439576.979999999</v>
          </cell>
          <cell r="G109">
            <v>2935871.09</v>
          </cell>
          <cell r="H109">
            <v>440189.4</v>
          </cell>
        </row>
        <row r="110">
          <cell r="B110" t="str">
            <v>%</v>
          </cell>
          <cell r="C110">
            <v>0.53280076475155114</v>
          </cell>
          <cell r="D110">
            <v>0.10181110989994971</v>
          </cell>
          <cell r="E110">
            <v>0.11266796364126669</v>
          </cell>
          <cell r="F110">
            <v>0.19877364487636853</v>
          </cell>
          <cell r="G110">
            <v>4.6912672222271738E-2</v>
          </cell>
          <cell r="H110">
            <v>7.0338446085922886E-3</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2657352.2799999998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1098483.4099999999</v>
          </cell>
          <cell r="F11">
            <v>0</v>
          </cell>
          <cell r="G11">
            <v>111066.33</v>
          </cell>
        </row>
        <row r="12">
          <cell r="A12" t="str">
            <v>DB006</v>
          </cell>
          <cell r="B12" t="str">
            <v>Vijitha Pharmacy</v>
          </cell>
          <cell r="C12">
            <v>3002306.72</v>
          </cell>
          <cell r="D12">
            <v>2633342.56</v>
          </cell>
          <cell r="E12">
            <v>544439.68999999994</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43869.599999999999</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1287034.3600000001</v>
          </cell>
          <cell r="F22">
            <v>0</v>
          </cell>
          <cell r="G22">
            <v>16114.13</v>
          </cell>
        </row>
        <row r="23">
          <cell r="A23" t="str">
            <v>DB017</v>
          </cell>
          <cell r="B23" t="str">
            <v>Mawarani Distributors,</v>
          </cell>
          <cell r="C23">
            <v>2358185.2799999998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2571.3000000000002</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2224.8000000000002</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Sheet1"/>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row>
      </sheetData>
      <sheetData sheetId="62">
        <row r="9">
          <cell r="E9">
            <v>0</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9">
          <cell r="E9">
            <v>0</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 xml:space="preserve">YTD </v>
          </cell>
          <cell r="H5" t="str">
            <v>Month</v>
          </cell>
          <cell r="I5" t="str">
            <v>Actual</v>
          </cell>
          <cell r="K5" t="str">
            <v>YTD</v>
          </cell>
        </row>
        <row r="6">
          <cell r="H6" t="str">
            <v>Plan</v>
          </cell>
          <cell r="I6" t="str">
            <v>Month</v>
          </cell>
          <cell r="K6">
            <v>2004</v>
          </cell>
        </row>
        <row r="8">
          <cell r="H8">
            <v>29</v>
          </cell>
          <cell r="I8">
            <v>11.042449999999999</v>
          </cell>
          <cell r="K8">
            <v>15.989939999999999</v>
          </cell>
        </row>
        <row r="9">
          <cell r="H9">
            <v>6.3774684285999994</v>
          </cell>
          <cell r="I9">
            <v>2.1520919200000002</v>
          </cell>
          <cell r="K9">
            <v>2.0819853699999999</v>
          </cell>
        </row>
        <row r="10">
          <cell r="H10">
            <v>219.91270443448275</v>
          </cell>
          <cell r="I10">
            <v>783.31574149527762</v>
          </cell>
          <cell r="K10">
            <v>130.20595261770839</v>
          </cell>
        </row>
        <row r="11">
          <cell r="H11">
            <v>2.4956640000000001</v>
          </cell>
          <cell r="I11">
            <v>0.50205999999999995</v>
          </cell>
          <cell r="K11">
            <v>0.42708999999999997</v>
          </cell>
        </row>
        <row r="12">
          <cell r="H12">
            <v>1.8</v>
          </cell>
          <cell r="I12">
            <v>0.21803621000000001</v>
          </cell>
        </row>
        <row r="15">
          <cell r="H15">
            <v>2</v>
          </cell>
          <cell r="I15">
            <v>1.0992500000000001</v>
          </cell>
          <cell r="K15">
            <v>1.45791</v>
          </cell>
        </row>
        <row r="16">
          <cell r="H16">
            <v>1.5772055641999998</v>
          </cell>
          <cell r="I16">
            <v>0.49581532000000006</v>
          </cell>
          <cell r="K16">
            <v>0.57814132000000007</v>
          </cell>
        </row>
        <row r="17">
          <cell r="H17">
            <v>788.6027820999999</v>
          </cell>
          <cell r="I17">
            <v>451.04873322720039</v>
          </cell>
          <cell r="K17">
            <v>316.31030152300002</v>
          </cell>
        </row>
        <row r="18">
          <cell r="H18">
            <v>1.528929</v>
          </cell>
          <cell r="I18">
            <v>0.30565999999999993</v>
          </cell>
          <cell r="K18">
            <v>0.30203999999999998</v>
          </cell>
        </row>
        <row r="21">
          <cell r="H21">
            <v>11</v>
          </cell>
          <cell r="I21">
            <v>3.80829</v>
          </cell>
          <cell r="K21">
            <v>5.6000499999999995</v>
          </cell>
        </row>
        <row r="22">
          <cell r="H22">
            <v>1.3658273784999999</v>
          </cell>
          <cell r="I22">
            <v>0.62551859999999992</v>
          </cell>
          <cell r="K22">
            <v>0.72763435999999981</v>
          </cell>
        </row>
        <row r="23">
          <cell r="H23">
            <v>124.16612531818181</v>
          </cell>
          <cell r="I23">
            <v>164.25182956129913</v>
          </cell>
          <cell r="K23">
            <v>158.115146856</v>
          </cell>
        </row>
        <row r="24">
          <cell r="H24">
            <v>0.126721</v>
          </cell>
          <cell r="I24">
            <v>4.0770000000000001E-2</v>
          </cell>
          <cell r="K24">
            <v>8.8400000000000006E-3</v>
          </cell>
        </row>
        <row r="27">
          <cell r="H27">
            <v>16</v>
          </cell>
          <cell r="I27">
            <v>6.1349099999999996</v>
          </cell>
          <cell r="K27">
            <v>8.9319799999999994</v>
          </cell>
        </row>
        <row r="28">
          <cell r="H28">
            <v>3.4344354858999999</v>
          </cell>
          <cell r="I28">
            <v>1.0307580000000001</v>
          </cell>
          <cell r="K28">
            <v>0.77620969000000006</v>
          </cell>
        </row>
        <row r="29">
          <cell r="H29">
            <v>214.65221786875</v>
          </cell>
          <cell r="I29">
            <v>168.0151787067781</v>
          </cell>
          <cell r="K29">
            <v>171.978851306</v>
          </cell>
        </row>
        <row r="30">
          <cell r="H30">
            <v>0.84001400000000004</v>
          </cell>
          <cell r="I30">
            <v>0.15562999999999999</v>
          </cell>
          <cell r="K30">
            <v>0.11620999999999999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Date Setup"/>
      <sheetName val="Info"/>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s>
    <sheetDataSet>
      <sheetData sheetId="0" refreshError="1"/>
      <sheetData sheetId="1" refreshError="1"/>
      <sheetData sheetId="2" refreshError="1"/>
      <sheetData sheetId="3" refreshError="1"/>
      <sheetData sheetId="4" refreshError="1">
        <row r="2">
          <cell r="B2" t="str">
            <v xml:space="preserve">STYLE </v>
          </cell>
        </row>
        <row r="3">
          <cell r="BS3" t="str">
            <v>FOR THE MONTH ENDED JULY 1994</v>
          </cell>
        </row>
        <row r="4">
          <cell r="BR4" t="str">
            <v>Run Date:</v>
          </cell>
          <cell r="BS4">
            <v>35268.702116898145</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L6">
            <v>0</v>
          </cell>
        </row>
        <row r="7">
          <cell r="BL7">
            <v>0</v>
          </cell>
          <cell r="BM7">
            <v>0</v>
          </cell>
          <cell r="BQ7">
            <v>0</v>
          </cell>
        </row>
        <row r="8">
          <cell r="BS8">
            <v>0</v>
          </cell>
        </row>
        <row r="9">
          <cell r="BL9">
            <v>0</v>
          </cell>
        </row>
        <row r="10">
          <cell r="BL10">
            <v>0</v>
          </cell>
        </row>
        <row r="11">
          <cell r="BL11">
            <v>0</v>
          </cell>
        </row>
        <row r="12">
          <cell r="BS12">
            <v>0</v>
          </cell>
        </row>
        <row r="13">
          <cell r="BK13">
            <v>0</v>
          </cell>
          <cell r="BL13">
            <v>0</v>
          </cell>
          <cell r="BM13">
            <v>0</v>
          </cell>
          <cell r="BN13">
            <v>0</v>
          </cell>
          <cell r="BQ13">
            <v>0</v>
          </cell>
          <cell r="BR13">
            <v>0</v>
          </cell>
        </row>
        <row r="14">
          <cell r="BL14">
            <v>0</v>
          </cell>
        </row>
        <row r="15">
          <cell r="BN15">
            <v>0</v>
          </cell>
        </row>
        <row r="16">
          <cell r="BK16">
            <v>0</v>
          </cell>
          <cell r="BL16">
            <v>0</v>
          </cell>
          <cell r="BM16">
            <v>0</v>
          </cell>
          <cell r="BN16">
            <v>0</v>
          </cell>
          <cell r="BQ16">
            <v>0</v>
          </cell>
          <cell r="BR16">
            <v>0</v>
          </cell>
        </row>
        <row r="17">
          <cell r="BL17">
            <v>0</v>
          </cell>
        </row>
        <row r="18">
          <cell r="BK18">
            <v>0</v>
          </cell>
          <cell r="BL18">
            <v>0</v>
          </cell>
          <cell r="BM18">
            <v>0</v>
          </cell>
          <cell r="BN18">
            <v>0</v>
          </cell>
          <cell r="BQ18">
            <v>0</v>
          </cell>
          <cell r="BR18">
            <v>0</v>
          </cell>
        </row>
        <row r="19">
          <cell r="BK19">
            <v>0</v>
          </cell>
          <cell r="BL19">
            <v>0</v>
          </cell>
          <cell r="BM19">
            <v>0</v>
          </cell>
          <cell r="BN19">
            <v>0</v>
          </cell>
          <cell r="BQ19">
            <v>0</v>
          </cell>
          <cell r="BR19">
            <v>0</v>
          </cell>
        </row>
        <row r="20">
          <cell r="BN20">
            <v>0</v>
          </cell>
          <cell r="BS20">
            <v>0</v>
          </cell>
        </row>
        <row r="21">
          <cell r="BN21">
            <v>0</v>
          </cell>
        </row>
        <row r="22">
          <cell r="BK22">
            <v>0</v>
          </cell>
          <cell r="BL22">
            <v>0</v>
          </cell>
          <cell r="BM22">
            <v>0</v>
          </cell>
          <cell r="BN22">
            <v>0</v>
          </cell>
          <cell r="BP22">
            <v>0</v>
          </cell>
          <cell r="BQ22">
            <v>0</v>
          </cell>
          <cell r="BR22">
            <v>0</v>
          </cell>
        </row>
        <row r="23">
          <cell r="BN23">
            <v>0</v>
          </cell>
        </row>
        <row r="24">
          <cell r="BN24">
            <v>0</v>
          </cell>
        </row>
        <row r="25">
          <cell r="BK25">
            <v>0</v>
          </cell>
          <cell r="BL25">
            <v>0</v>
          </cell>
          <cell r="BM25">
            <v>0</v>
          </cell>
          <cell r="BN25">
            <v>0</v>
          </cell>
          <cell r="BQ25">
            <v>0</v>
          </cell>
          <cell r="BR25">
            <v>0</v>
          </cell>
        </row>
        <row r="26">
          <cell r="BN26">
            <v>0</v>
          </cell>
        </row>
        <row r="27">
          <cell r="BK27">
            <v>0</v>
          </cell>
          <cell r="BL27">
            <v>0</v>
          </cell>
          <cell r="BM27">
            <v>0</v>
          </cell>
          <cell r="BN27">
            <v>0</v>
          </cell>
          <cell r="BQ27">
            <v>0</v>
          </cell>
          <cell r="BR27">
            <v>0</v>
          </cell>
        </row>
        <row r="28">
          <cell r="BN28">
            <v>0</v>
          </cell>
        </row>
        <row r="29">
          <cell r="BK29">
            <v>0</v>
          </cell>
          <cell r="BL29">
            <v>0</v>
          </cell>
          <cell r="BM29">
            <v>0</v>
          </cell>
          <cell r="BN29">
            <v>0</v>
          </cell>
          <cell r="BQ29">
            <v>0</v>
          </cell>
          <cell r="BR29">
            <v>0</v>
          </cell>
        </row>
        <row r="30">
          <cell r="BS30">
            <v>0</v>
          </cell>
        </row>
        <row r="31">
          <cell r="BN31">
            <v>0</v>
          </cell>
        </row>
        <row r="33">
          <cell r="BN33">
            <v>0</v>
          </cell>
        </row>
        <row r="34">
          <cell r="BQ34">
            <v>0</v>
          </cell>
        </row>
        <row r="35">
          <cell r="BO35">
            <v>0</v>
          </cell>
        </row>
        <row r="36">
          <cell r="BO36">
            <v>0</v>
          </cell>
        </row>
        <row r="37">
          <cell r="BO37">
            <v>0</v>
          </cell>
        </row>
        <row r="38">
          <cell r="BO38">
            <v>0</v>
          </cell>
        </row>
        <row r="39">
          <cell r="BJ39">
            <v>0</v>
          </cell>
          <cell r="BK39">
            <v>0</v>
          </cell>
          <cell r="BL39">
            <v>0</v>
          </cell>
          <cell r="BM39">
            <v>0</v>
          </cell>
          <cell r="BN39">
            <v>0</v>
          </cell>
          <cell r="BQ39">
            <v>0</v>
          </cell>
          <cell r="BR39">
            <v>0</v>
          </cell>
          <cell r="BS39">
            <v>0</v>
          </cell>
        </row>
        <row r="41">
          <cell r="BN41">
            <v>0</v>
          </cell>
        </row>
        <row r="42">
          <cell r="BO42">
            <v>0</v>
          </cell>
        </row>
        <row r="43">
          <cell r="BQ43">
            <v>0</v>
          </cell>
        </row>
        <row r="44">
          <cell r="BK44">
            <v>0</v>
          </cell>
          <cell r="BL44">
            <v>0</v>
          </cell>
          <cell r="BM44">
            <v>0</v>
          </cell>
          <cell r="BN44">
            <v>0</v>
          </cell>
          <cell r="BQ44">
            <v>0</v>
          </cell>
          <cell r="BR44">
            <v>0</v>
          </cell>
          <cell r="BS44">
            <v>0</v>
          </cell>
        </row>
        <row r="45">
          <cell r="BN45">
            <v>0</v>
          </cell>
        </row>
        <row r="47">
          <cell r="BK47">
            <v>0</v>
          </cell>
          <cell r="BL47">
            <v>0</v>
          </cell>
          <cell r="BM47">
            <v>0</v>
          </cell>
          <cell r="BN47">
            <v>0</v>
          </cell>
          <cell r="BQ47">
            <v>0</v>
          </cell>
          <cell r="BR47">
            <v>0</v>
          </cell>
          <cell r="BS47">
            <v>0</v>
          </cell>
        </row>
        <row r="48">
          <cell r="BK48">
            <v>0</v>
          </cell>
          <cell r="BM48">
            <v>0</v>
          </cell>
          <cell r="BQ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3">
          <cell r="K3" t="str">
            <v>FOR THE MONTH ENDED JANUARY 1995</v>
          </cell>
        </row>
      </sheetData>
      <sheetData sheetId="18">
        <row r="2">
          <cell r="B2" t="str">
            <v xml:space="preserve">STYLE </v>
          </cell>
        </row>
      </sheetData>
      <sheetData sheetId="19">
        <row r="2">
          <cell r="B2" t="str">
            <v xml:space="preserve">STYLE </v>
          </cell>
        </row>
      </sheetData>
      <sheetData sheetId="20">
        <row r="2">
          <cell r="B2" t="str">
            <v xml:space="preserve">STYLE </v>
          </cell>
        </row>
      </sheetData>
      <sheetData sheetId="21">
        <row r="2">
          <cell r="B2" t="str">
            <v xml:space="preserve">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 xml:space="preserve">STYLE </v>
          </cell>
        </row>
      </sheetData>
      <sheetData sheetId="103">
        <row r="2">
          <cell r="B2" t="str">
            <v xml:space="preserve">STYLE </v>
          </cell>
        </row>
      </sheetData>
      <sheetData sheetId="104">
        <row r="2">
          <cell r="B2" t="str">
            <v xml:space="preserve">STYLE </v>
          </cell>
        </row>
      </sheetData>
      <sheetData sheetId="105">
        <row r="2">
          <cell r="B2" t="str">
            <v xml:space="preserve">STYLE </v>
          </cell>
        </row>
      </sheetData>
      <sheetData sheetId="106">
        <row r="2">
          <cell r="B2" t="str">
            <v xml:space="preserve">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ow r="3">
          <cell r="K3" t="str">
            <v>FOR THE MONTH ENDED JANUARY 1995</v>
          </cell>
        </row>
      </sheetData>
      <sheetData sheetId="181">
        <row r="3">
          <cell r="K3" t="str">
            <v>FOR THE MONTH ENDED JANUARY 1995</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1252.3499999999999</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596628.30000000005</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7481326.3300000001</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36668959.170000002</v>
          </cell>
          <cell r="C62">
            <v>0</v>
          </cell>
        </row>
        <row r="63">
          <cell r="A63">
            <v>3</v>
          </cell>
          <cell r="B63">
            <v>281001.88</v>
          </cell>
          <cell r="C63">
            <v>0</v>
          </cell>
        </row>
        <row r="64">
          <cell r="A64">
            <v>4</v>
          </cell>
          <cell r="B64">
            <v>79569.09</v>
          </cell>
          <cell r="C64">
            <v>0</v>
          </cell>
        </row>
        <row r="65">
          <cell r="A65">
            <v>5</v>
          </cell>
          <cell r="B65">
            <v>45096078.299999997</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669276.05000000005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43162249.770000003</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59341815.986000001</v>
          </cell>
          <cell r="C85">
            <v>0</v>
          </cell>
        </row>
        <row r="86">
          <cell r="B86">
            <v>46376915.789999999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308066.78000000003</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1.8630116355064792</v>
          </cell>
        </row>
      </sheetData>
      <sheetData sheetId="3"/>
      <sheetData sheetId="4"/>
      <sheetData sheetId="5"/>
      <sheetData sheetId="6">
        <row r="141">
          <cell r="O141">
            <v>4010696.316746532</v>
          </cell>
        </row>
      </sheetData>
      <sheetData sheetId="7">
        <row r="6">
          <cell r="E6" t="str">
            <v>JAN</v>
          </cell>
        </row>
        <row r="35">
          <cell r="C35" t="str">
            <v>FEB</v>
          </cell>
        </row>
        <row r="36">
          <cell r="C36"/>
        </row>
        <row r="37">
          <cell r="C37"/>
        </row>
        <row r="38">
          <cell r="C38"/>
        </row>
        <row r="39">
          <cell r="C39"/>
        </row>
        <row r="40">
          <cell r="C40"/>
        </row>
        <row r="41">
          <cell r="C41"/>
        </row>
        <row r="42">
          <cell r="C42"/>
        </row>
        <row r="43">
          <cell r="C43"/>
        </row>
        <row r="44">
          <cell r="C44"/>
        </row>
        <row r="45">
          <cell r="C45"/>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Sheet2"/>
      <sheetName val="Finance_MI1"/>
    </sheetNames>
    <sheetDataSet>
      <sheetData sheetId="0" refreshError="1"/>
      <sheetData sheetId="1" refreshError="1">
        <row r="151">
          <cell r="B151" t="str">
            <v>200L639</v>
          </cell>
          <cell r="C151">
            <v>113.73</v>
          </cell>
          <cell r="D151">
            <v>607</v>
          </cell>
          <cell r="E151">
            <v>69034.11</v>
          </cell>
          <cell r="F151">
            <v>1.339047619047619</v>
          </cell>
          <cell r="G151">
            <v>812.80190476190478</v>
          </cell>
          <cell r="H151">
            <v>67.040000000000006</v>
          </cell>
          <cell r="I151">
            <v>40693.280000000006</v>
          </cell>
          <cell r="J151">
            <v>7.6000000000000005</v>
          </cell>
          <cell r="K151">
            <v>6.6120000000000001</v>
          </cell>
          <cell r="L151">
            <v>4013.4839999999999</v>
          </cell>
          <cell r="M151">
            <v>45519.565904761905</v>
          </cell>
          <cell r="N151">
            <v>38.738952380952384</v>
          </cell>
          <cell r="O151">
            <v>23514.544095238096</v>
          </cell>
          <cell r="P151">
            <v>34.06221083351128</v>
          </cell>
        </row>
        <row r="152">
          <cell r="B152" t="str">
            <v>200L828</v>
          </cell>
          <cell r="C152">
            <v>128.72999999999999</v>
          </cell>
          <cell r="D152">
            <v>31</v>
          </cell>
          <cell r="E152">
            <v>3990.63</v>
          </cell>
          <cell r="F152">
            <v>1.339047619047619</v>
          </cell>
          <cell r="G152">
            <v>41.51047619047619</v>
          </cell>
          <cell r="H152">
            <v>78.38</v>
          </cell>
          <cell r="I152">
            <v>2429.7799999999997</v>
          </cell>
          <cell r="J152">
            <v>10.139999999999999</v>
          </cell>
          <cell r="K152">
            <v>8.8217999999999996</v>
          </cell>
          <cell r="L152">
            <v>273.47579999999999</v>
          </cell>
          <cell r="M152">
            <v>2744.7662761904762</v>
          </cell>
          <cell r="N152">
            <v>40.189152380952386</v>
          </cell>
          <cell r="O152">
            <v>1245.8637238095239</v>
          </cell>
          <cell r="P152">
            <v>31.219725301757467</v>
          </cell>
        </row>
        <row r="153">
          <cell r="B153" t="str">
            <v>201L252</v>
          </cell>
          <cell r="C153">
            <v>158.73000000000002</v>
          </cell>
          <cell r="D153">
            <v>294</v>
          </cell>
          <cell r="E153">
            <v>46666.62</v>
          </cell>
          <cell r="F153">
            <v>1.339047619047619</v>
          </cell>
          <cell r="G153">
            <v>393.68</v>
          </cell>
          <cell r="H153">
            <v>96.06</v>
          </cell>
          <cell r="I153">
            <v>28241.64</v>
          </cell>
          <cell r="J153">
            <v>11.95</v>
          </cell>
          <cell r="K153">
            <v>10.3965</v>
          </cell>
          <cell r="L153">
            <v>3056.5709999999999</v>
          </cell>
          <cell r="M153">
            <v>31691.891</v>
          </cell>
          <cell r="N153">
            <v>50.934452380952393</v>
          </cell>
          <cell r="O153">
            <v>14974.729000000003</v>
          </cell>
          <cell r="P153">
            <v>32.088737088737091</v>
          </cell>
        </row>
        <row r="154">
          <cell r="B154" t="str">
            <v>201L751</v>
          </cell>
          <cell r="C154">
            <v>98.73</v>
          </cell>
          <cell r="D154">
            <v>652</v>
          </cell>
          <cell r="E154">
            <v>64371.96</v>
          </cell>
          <cell r="F154">
            <v>1.339047619047619</v>
          </cell>
          <cell r="G154">
            <v>873.05904761904765</v>
          </cell>
          <cell r="H154">
            <v>70.36</v>
          </cell>
          <cell r="I154">
            <v>45874.720000000001</v>
          </cell>
          <cell r="J154">
            <v>10.34</v>
          </cell>
          <cell r="K154">
            <v>8.9957999999999991</v>
          </cell>
          <cell r="L154">
            <v>5865.2615999999998</v>
          </cell>
          <cell r="M154">
            <v>52613.040647619047</v>
          </cell>
          <cell r="N154">
            <v>18.035152380952379</v>
          </cell>
          <cell r="O154">
            <v>11758.919352380952</v>
          </cell>
          <cell r="P154">
            <v>18.267145124027529</v>
          </cell>
        </row>
        <row r="155">
          <cell r="B155" t="str">
            <v>201L912</v>
          </cell>
          <cell r="C155">
            <v>103.72999999999999</v>
          </cell>
          <cell r="D155">
            <v>1830</v>
          </cell>
          <cell r="E155">
            <v>189825.9</v>
          </cell>
          <cell r="F155">
            <v>1.339047619047619</v>
          </cell>
          <cell r="G155">
            <v>2450.457142857143</v>
          </cell>
          <cell r="H155">
            <v>65.709999999999994</v>
          </cell>
          <cell r="I155">
            <v>120249.29999999999</v>
          </cell>
          <cell r="J155">
            <v>14.19</v>
          </cell>
          <cell r="K155">
            <v>12.3453</v>
          </cell>
          <cell r="L155">
            <v>22591.899000000001</v>
          </cell>
          <cell r="M155">
            <v>145291.65614285713</v>
          </cell>
          <cell r="N155">
            <v>24.335652380952386</v>
          </cell>
          <cell r="O155">
            <v>44534.243857142865</v>
          </cell>
          <cell r="P155">
            <v>23.460573007762832</v>
          </cell>
        </row>
        <row r="156">
          <cell r="B156" t="str">
            <v>202L400</v>
          </cell>
          <cell r="C156">
            <v>116.73</v>
          </cell>
          <cell r="D156">
            <v>132</v>
          </cell>
          <cell r="E156">
            <v>15408.36</v>
          </cell>
          <cell r="F156">
            <v>1.339047619047619</v>
          </cell>
          <cell r="G156">
            <v>176.75428571428571</v>
          </cell>
          <cell r="H156">
            <v>55.09</v>
          </cell>
          <cell r="I156">
            <v>7271.88</v>
          </cell>
          <cell r="J156">
            <v>9.98</v>
          </cell>
          <cell r="K156">
            <v>8.6826000000000008</v>
          </cell>
          <cell r="L156">
            <v>1146.1032</v>
          </cell>
          <cell r="M156">
            <v>8594.7374857142859</v>
          </cell>
          <cell r="N156">
            <v>51.618352380952388</v>
          </cell>
          <cell r="O156">
            <v>6813.6225142857147</v>
          </cell>
          <cell r="P156">
            <v>44.220296736873458</v>
          </cell>
        </row>
        <row r="157">
          <cell r="B157" t="str">
            <v>202L490</v>
          </cell>
          <cell r="C157">
            <v>128.73000000000002</v>
          </cell>
          <cell r="D157">
            <v>437</v>
          </cell>
          <cell r="E157">
            <v>56255.01</v>
          </cell>
          <cell r="F157">
            <v>1.339047619047619</v>
          </cell>
          <cell r="G157">
            <v>585.1638095238095</v>
          </cell>
          <cell r="H157">
            <v>76.64</v>
          </cell>
          <cell r="I157">
            <v>33491.68</v>
          </cell>
          <cell r="J157">
            <v>12.620000000000001</v>
          </cell>
          <cell r="K157">
            <v>10.9794</v>
          </cell>
          <cell r="L157">
            <v>4797.9978000000001</v>
          </cell>
          <cell r="M157">
            <v>38874.841609523806</v>
          </cell>
          <cell r="N157">
            <v>39.771552380952393</v>
          </cell>
          <cell r="O157">
            <v>17380.168390476196</v>
          </cell>
          <cell r="P157">
            <v>30.895325394975831</v>
          </cell>
        </row>
        <row r="158">
          <cell r="B158" t="str">
            <v>202L604</v>
          </cell>
          <cell r="C158">
            <v>86.73</v>
          </cell>
          <cell r="D158">
            <v>726</v>
          </cell>
          <cell r="E158">
            <v>62965.98</v>
          </cell>
          <cell r="F158">
            <v>1.339047619047619</v>
          </cell>
          <cell r="G158">
            <v>972.14857142857147</v>
          </cell>
          <cell r="H158">
            <v>47.580000000000005</v>
          </cell>
          <cell r="I158">
            <v>34543.08</v>
          </cell>
          <cell r="J158">
            <v>7.74</v>
          </cell>
          <cell r="K158">
            <v>6.7338000000000005</v>
          </cell>
          <cell r="L158">
            <v>4888.7388000000001</v>
          </cell>
          <cell r="M158">
            <v>40403.967371428575</v>
          </cell>
          <cell r="N158">
            <v>31.077152380952381</v>
          </cell>
          <cell r="O158">
            <v>22562.012628571429</v>
          </cell>
          <cell r="P158">
            <v>35.832067774648195</v>
          </cell>
        </row>
        <row r="159">
          <cell r="B159" t="str">
            <v>202L655</v>
          </cell>
          <cell r="C159">
            <v>98.73</v>
          </cell>
          <cell r="D159">
            <v>92</v>
          </cell>
          <cell r="E159">
            <v>9083.16</v>
          </cell>
          <cell r="F159">
            <v>1.339047619047619</v>
          </cell>
          <cell r="G159">
            <v>123.19238095238096</v>
          </cell>
          <cell r="H159">
            <v>47.87</v>
          </cell>
          <cell r="I159">
            <v>4404.04</v>
          </cell>
          <cell r="J159">
            <v>15.200000000000001</v>
          </cell>
          <cell r="K159">
            <v>13.224</v>
          </cell>
          <cell r="L159">
            <v>1216.6079999999999</v>
          </cell>
          <cell r="M159">
            <v>5743.8403809523807</v>
          </cell>
          <cell r="N159">
            <v>36.296952380952384</v>
          </cell>
          <cell r="O159">
            <v>3339.3196190476192</v>
          </cell>
          <cell r="P159">
            <v>36.763853318092153</v>
          </cell>
        </row>
        <row r="160">
          <cell r="B160" t="str">
            <v>202L762</v>
          </cell>
          <cell r="C160">
            <v>128.73000000000002</v>
          </cell>
          <cell r="D160">
            <v>41</v>
          </cell>
          <cell r="E160">
            <v>5277.93</v>
          </cell>
          <cell r="F160">
            <v>1.339047619047619</v>
          </cell>
          <cell r="G160">
            <v>54.900952380952383</v>
          </cell>
          <cell r="H160">
            <v>77.92</v>
          </cell>
          <cell r="I160">
            <v>3194.7200000000003</v>
          </cell>
          <cell r="J160">
            <v>8.06</v>
          </cell>
          <cell r="K160">
            <v>7.0122</v>
          </cell>
          <cell r="L160">
            <v>287.50020000000001</v>
          </cell>
          <cell r="M160">
            <v>3537.1211523809525</v>
          </cell>
          <cell r="N160">
            <v>42.458752380952383</v>
          </cell>
          <cell r="O160">
            <v>1740.8088476190478</v>
          </cell>
          <cell r="P160">
            <v>32.98279529321244</v>
          </cell>
        </row>
        <row r="161">
          <cell r="B161" t="str">
            <v>203L154</v>
          </cell>
          <cell r="C161">
            <v>124.73</v>
          </cell>
          <cell r="D161">
            <v>677</v>
          </cell>
          <cell r="E161">
            <v>84442.21</v>
          </cell>
          <cell r="F161">
            <v>1.339047619047619</v>
          </cell>
          <cell r="G161">
            <v>906.53523809523813</v>
          </cell>
          <cell r="H161">
            <v>54.73</v>
          </cell>
          <cell r="I161">
            <v>37052.21</v>
          </cell>
          <cell r="J161">
            <v>10</v>
          </cell>
          <cell r="K161">
            <v>8.6999999999999993</v>
          </cell>
          <cell r="L161">
            <v>5889.9</v>
          </cell>
          <cell r="M161">
            <v>43848.64523809524</v>
          </cell>
          <cell r="N161">
            <v>59.960952380952385</v>
          </cell>
          <cell r="O161">
            <v>40593.564761904767</v>
          </cell>
          <cell r="P161">
            <v>48.072598717992769</v>
          </cell>
        </row>
        <row r="162">
          <cell r="B162" t="str">
            <v>205L816</v>
          </cell>
          <cell r="C162">
            <v>96.73</v>
          </cell>
          <cell r="D162">
            <v>107</v>
          </cell>
          <cell r="E162">
            <v>10350.11</v>
          </cell>
          <cell r="F162">
            <v>1.339047619047619</v>
          </cell>
          <cell r="G162">
            <v>143.27809523809523</v>
          </cell>
          <cell r="H162">
            <v>114.3039</v>
          </cell>
          <cell r="I162">
            <v>12230.5173</v>
          </cell>
          <cell r="J162">
            <v>11.73</v>
          </cell>
          <cell r="K162">
            <v>10.2051</v>
          </cell>
          <cell r="L162">
            <v>1091.9457</v>
          </cell>
          <cell r="M162">
            <v>13465.741095238094</v>
          </cell>
          <cell r="N162">
            <v>-29.118047619047605</v>
          </cell>
          <cell r="O162">
            <v>-3115.6310952380936</v>
          </cell>
          <cell r="P162">
            <v>-30.1023959671742</v>
          </cell>
        </row>
        <row r="163">
          <cell r="B163" t="str">
            <v>206L158</v>
          </cell>
          <cell r="C163">
            <v>111.72999999999999</v>
          </cell>
          <cell r="D163">
            <v>10</v>
          </cell>
          <cell r="E163">
            <v>1117.3</v>
          </cell>
          <cell r="F163">
            <v>1.339047619047619</v>
          </cell>
          <cell r="G163">
            <v>13.390476190476191</v>
          </cell>
          <cell r="H163">
            <v>63.179999999999993</v>
          </cell>
          <cell r="I163">
            <v>631.79999999999995</v>
          </cell>
          <cell r="J163">
            <v>13.19</v>
          </cell>
          <cell r="K163">
            <v>11.475299999999999</v>
          </cell>
          <cell r="L163">
            <v>114.75299999999999</v>
          </cell>
          <cell r="M163">
            <v>759.94347619047608</v>
          </cell>
          <cell r="N163">
            <v>35.735652380952388</v>
          </cell>
          <cell r="O163">
            <v>357.35652380952388</v>
          </cell>
          <cell r="P163">
            <v>31.983936615906554</v>
          </cell>
        </row>
        <row r="164">
          <cell r="B164" t="str">
            <v>210-573</v>
          </cell>
          <cell r="C164">
            <v>79.73</v>
          </cell>
          <cell r="D164">
            <v>1495</v>
          </cell>
          <cell r="E164">
            <v>119196.35</v>
          </cell>
          <cell r="F164">
            <v>1.339047619047619</v>
          </cell>
          <cell r="G164">
            <v>2001.8761904761905</v>
          </cell>
          <cell r="H164">
            <v>0</v>
          </cell>
          <cell r="I164">
            <v>0</v>
          </cell>
          <cell r="J164">
            <v>0</v>
          </cell>
          <cell r="K164">
            <v>0</v>
          </cell>
          <cell r="L164">
            <v>0</v>
          </cell>
          <cell r="M164">
            <v>2001.8761904761905</v>
          </cell>
          <cell r="N164">
            <v>78.390952380952385</v>
          </cell>
          <cell r="O164">
            <v>117194.47380952381</v>
          </cell>
          <cell r="P164">
            <v>98.32052223874625</v>
          </cell>
        </row>
        <row r="165">
          <cell r="B165" t="str">
            <v>210L260</v>
          </cell>
          <cell r="C165">
            <v>113.73</v>
          </cell>
          <cell r="D165">
            <v>4663</v>
          </cell>
          <cell r="E165">
            <v>530322.99</v>
          </cell>
          <cell r="F165">
            <v>1.339047619047619</v>
          </cell>
          <cell r="G165">
            <v>6243.9790476190474</v>
          </cell>
          <cell r="H165">
            <v>60.29999999999999</v>
          </cell>
          <cell r="I165">
            <v>281178.89999999997</v>
          </cell>
          <cell r="J165">
            <v>8.3099999999999987</v>
          </cell>
          <cell r="K165">
            <v>7.2296999999999993</v>
          </cell>
          <cell r="L165">
            <v>33712.091099999998</v>
          </cell>
          <cell r="M165">
            <v>321134.97014761902</v>
          </cell>
          <cell r="N165">
            <v>44.861252380952386</v>
          </cell>
          <cell r="O165">
            <v>209188.01985238097</v>
          </cell>
          <cell r="P165">
            <v>39.445399086390914</v>
          </cell>
        </row>
        <row r="166">
          <cell r="B166" t="str">
            <v>210L585</v>
          </cell>
          <cell r="C166">
            <v>123.73</v>
          </cell>
          <cell r="D166">
            <v>854</v>
          </cell>
          <cell r="E166">
            <v>105665.42</v>
          </cell>
          <cell r="F166">
            <v>1.339047619047619</v>
          </cell>
          <cell r="G166">
            <v>1143.5466666666666</v>
          </cell>
          <cell r="H166">
            <v>88.91</v>
          </cell>
          <cell r="I166">
            <v>75929.14</v>
          </cell>
          <cell r="J166">
            <v>9.4600000000000009</v>
          </cell>
          <cell r="K166">
            <v>8.2302</v>
          </cell>
          <cell r="L166">
            <v>7028.5907999999999</v>
          </cell>
          <cell r="M166">
            <v>84101.277466666666</v>
          </cell>
          <cell r="N166">
            <v>25.250752380952378</v>
          </cell>
          <cell r="O166">
            <v>21564.142533333332</v>
          </cell>
          <cell r="P166">
            <v>20.407946642651236</v>
          </cell>
        </row>
        <row r="167">
          <cell r="B167" t="str">
            <v>217-809</v>
          </cell>
          <cell r="C167">
            <v>69.72999999999999</v>
          </cell>
          <cell r="D167">
            <v>40</v>
          </cell>
          <cell r="E167">
            <v>2789.2</v>
          </cell>
          <cell r="F167">
            <v>1.339047619047619</v>
          </cell>
          <cell r="G167">
            <v>53.561904761904763</v>
          </cell>
          <cell r="H167">
            <v>0</v>
          </cell>
          <cell r="I167">
            <v>0</v>
          </cell>
          <cell r="J167">
            <v>0</v>
          </cell>
          <cell r="K167">
            <v>0</v>
          </cell>
          <cell r="L167">
            <v>0</v>
          </cell>
          <cell r="M167">
            <v>53.561904761904763</v>
          </cell>
          <cell r="N167">
            <v>68.390952380952371</v>
          </cell>
          <cell r="O167">
            <v>2735.638095238095</v>
          </cell>
          <cell r="P167">
            <v>98.079667834436222</v>
          </cell>
        </row>
        <row r="168">
          <cell r="B168" t="str">
            <v>219L122</v>
          </cell>
          <cell r="C168">
            <v>134.72999999999999</v>
          </cell>
          <cell r="D168">
            <v>1567</v>
          </cell>
          <cell r="E168">
            <v>211121.91</v>
          </cell>
          <cell r="F168">
            <v>1.339047619047619</v>
          </cell>
          <cell r="G168">
            <v>2098.287619047619</v>
          </cell>
          <cell r="H168">
            <v>98.15</v>
          </cell>
          <cell r="I168">
            <v>153801.05000000002</v>
          </cell>
          <cell r="J168">
            <v>11.359999999999998</v>
          </cell>
          <cell r="K168">
            <v>9.8831999999999987</v>
          </cell>
          <cell r="L168">
            <v>15486.974399999997</v>
          </cell>
          <cell r="M168">
            <v>171386.31201904765</v>
          </cell>
          <cell r="N168">
            <v>25.357752380952366</v>
          </cell>
          <cell r="O168">
            <v>39735.597980952356</v>
          </cell>
          <cell r="P168">
            <v>18.821162607401742</v>
          </cell>
        </row>
        <row r="169">
          <cell r="B169" t="str">
            <v>21L872</v>
          </cell>
          <cell r="C169">
            <v>101.73</v>
          </cell>
          <cell r="D169">
            <v>256</v>
          </cell>
          <cell r="E169">
            <v>26042.880000000001</v>
          </cell>
          <cell r="F169">
            <v>1.339047619047619</v>
          </cell>
          <cell r="G169">
            <v>342.79619047619047</v>
          </cell>
          <cell r="H169">
            <v>40.4</v>
          </cell>
          <cell r="I169">
            <v>10342.4</v>
          </cell>
          <cell r="J169">
            <v>10.76</v>
          </cell>
          <cell r="K169">
            <v>9.3612000000000002</v>
          </cell>
          <cell r="L169">
            <v>2396.4672</v>
          </cell>
          <cell r="M169">
            <v>13081.663390476191</v>
          </cell>
          <cell r="N169">
            <v>50.629752380952382</v>
          </cell>
          <cell r="O169">
            <v>12961.21660952381</v>
          </cell>
          <cell r="P169">
            <v>49.768752954833758</v>
          </cell>
        </row>
        <row r="170">
          <cell r="B170" t="str">
            <v>237-142</v>
          </cell>
          <cell r="C170">
            <v>79.73</v>
          </cell>
          <cell r="D170">
            <v>779</v>
          </cell>
          <cell r="E170">
            <v>62109.67</v>
          </cell>
          <cell r="F170">
            <v>1.339047619047619</v>
          </cell>
          <cell r="G170">
            <v>1043.1180952380953</v>
          </cell>
          <cell r="H170">
            <v>0</v>
          </cell>
          <cell r="I170">
            <v>0</v>
          </cell>
          <cell r="J170">
            <v>0</v>
          </cell>
          <cell r="K170">
            <v>0</v>
          </cell>
          <cell r="L170">
            <v>0</v>
          </cell>
          <cell r="M170">
            <v>1043.1180952380953</v>
          </cell>
          <cell r="N170">
            <v>78.390952380952371</v>
          </cell>
          <cell r="O170">
            <v>61066.551904761902</v>
          </cell>
          <cell r="P170">
            <v>98.320522238746221</v>
          </cell>
        </row>
        <row r="171">
          <cell r="B171" t="str">
            <v>237A142</v>
          </cell>
          <cell r="C171">
            <v>79.73</v>
          </cell>
          <cell r="D171">
            <v>487</v>
          </cell>
          <cell r="E171">
            <v>38828.51</v>
          </cell>
          <cell r="F171">
            <v>1.339047619047619</v>
          </cell>
          <cell r="G171">
            <v>652.11619047619047</v>
          </cell>
          <cell r="H171">
            <v>0</v>
          </cell>
          <cell r="I171">
            <v>0</v>
          </cell>
          <cell r="J171">
            <v>0</v>
          </cell>
          <cell r="K171">
            <v>0</v>
          </cell>
          <cell r="L171">
            <v>0</v>
          </cell>
          <cell r="M171">
            <v>652.11619047619047</v>
          </cell>
          <cell r="N171">
            <v>78.390952380952385</v>
          </cell>
          <cell r="O171">
            <v>38176.393809523812</v>
          </cell>
          <cell r="P171">
            <v>98.32052223874625</v>
          </cell>
        </row>
        <row r="172">
          <cell r="B172" t="str">
            <v>300L221</v>
          </cell>
          <cell r="C172">
            <v>161.72999999999999</v>
          </cell>
          <cell r="D172">
            <v>169</v>
          </cell>
          <cell r="E172">
            <v>27332.37</v>
          </cell>
          <cell r="F172">
            <v>1.339047619047619</v>
          </cell>
          <cell r="G172">
            <v>226.29904761904763</v>
          </cell>
          <cell r="H172">
            <v>96.435599999999994</v>
          </cell>
          <cell r="I172">
            <v>16297.616399999999</v>
          </cell>
          <cell r="J172">
            <v>11.17</v>
          </cell>
          <cell r="K172">
            <v>9.7179000000000002</v>
          </cell>
          <cell r="L172">
            <v>1642.3251</v>
          </cell>
          <cell r="M172">
            <v>18166.240547619047</v>
          </cell>
          <cell r="N172">
            <v>54.237452380952377</v>
          </cell>
          <cell r="O172">
            <v>9166.129452380952</v>
          </cell>
          <cell r="P172">
            <v>33.535801880264877</v>
          </cell>
        </row>
        <row r="173">
          <cell r="B173" t="str">
            <v>317-022</v>
          </cell>
          <cell r="C173">
            <v>59.73</v>
          </cell>
          <cell r="D173">
            <v>172</v>
          </cell>
          <cell r="E173">
            <v>10273.56</v>
          </cell>
          <cell r="F173">
            <v>1.339047619047619</v>
          </cell>
          <cell r="G173">
            <v>230.31619047619049</v>
          </cell>
          <cell r="H173">
            <v>0</v>
          </cell>
          <cell r="I173">
            <v>0</v>
          </cell>
          <cell r="J173">
            <v>0</v>
          </cell>
          <cell r="K173">
            <v>0</v>
          </cell>
          <cell r="L173">
            <v>0</v>
          </cell>
          <cell r="M173">
            <v>230.31619047619049</v>
          </cell>
          <cell r="N173">
            <v>58.390952380952378</v>
          </cell>
          <cell r="O173">
            <v>10043.243809523809</v>
          </cell>
          <cell r="P173">
            <v>97.758165713966818</v>
          </cell>
        </row>
        <row r="174">
          <cell r="B174" t="str">
            <v>750L271</v>
          </cell>
          <cell r="C174">
            <v>104.72999999999999</v>
          </cell>
          <cell r="D174">
            <v>156</v>
          </cell>
          <cell r="E174">
            <v>16337.88</v>
          </cell>
          <cell r="F174">
            <v>1.3262271062271063</v>
          </cell>
          <cell r="G174">
            <v>206.89142857142858</v>
          </cell>
          <cell r="H174">
            <v>116.28</v>
          </cell>
          <cell r="I174">
            <v>18139.68</v>
          </cell>
          <cell r="J174">
            <v>5</v>
          </cell>
          <cell r="K174">
            <v>4.3499999999999996</v>
          </cell>
          <cell r="L174">
            <v>678.59999999999991</v>
          </cell>
          <cell r="M174">
            <v>19025.171428571426</v>
          </cell>
          <cell r="N174">
            <v>-17.226227106227096</v>
          </cell>
          <cell r="O174">
            <v>-2687.2914285714269</v>
          </cell>
          <cell r="P174">
            <v>-16.44822601568519</v>
          </cell>
        </row>
        <row r="175">
          <cell r="B175" t="str">
            <v>751L865</v>
          </cell>
          <cell r="C175">
            <v>94.73</v>
          </cell>
          <cell r="D175">
            <v>1</v>
          </cell>
          <cell r="E175">
            <v>94.73</v>
          </cell>
          <cell r="F175">
            <v>1.339047619047619</v>
          </cell>
          <cell r="G175">
            <v>1.339047619047619</v>
          </cell>
          <cell r="H175">
            <v>95.38</v>
          </cell>
          <cell r="I175">
            <v>95.38</v>
          </cell>
          <cell r="J175">
            <v>5</v>
          </cell>
          <cell r="K175">
            <v>4.3499999999999996</v>
          </cell>
          <cell r="L175">
            <v>4.3499999999999996</v>
          </cell>
          <cell r="M175">
            <v>101.06904761904761</v>
          </cell>
          <cell r="N175">
            <v>-6.3390476190476051</v>
          </cell>
          <cell r="O175">
            <v>-6.3390476190476051</v>
          </cell>
          <cell r="P175">
            <v>-6.6917002206772995</v>
          </cell>
        </row>
        <row r="187">
          <cell r="B187" t="str">
            <v>Stock Lot</v>
          </cell>
          <cell r="C187">
            <v>39.859090909090909</v>
          </cell>
          <cell r="D187">
            <v>2200</v>
          </cell>
          <cell r="E187">
            <v>87690</v>
          </cell>
          <cell r="F187">
            <v>4.5945454545454547</v>
          </cell>
          <cell r="G187">
            <v>10108</v>
          </cell>
          <cell r="M187">
            <v>10108</v>
          </cell>
          <cell r="N187">
            <v>35.264545454545456</v>
          </cell>
          <cell r="O187">
            <v>77582</v>
          </cell>
          <cell r="P187">
            <v>88.473029992017331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-93164503.489999995</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22172502.129999999</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-24642984.859999999</v>
          </cell>
        </row>
        <row r="25">
          <cell r="B25">
            <v>21000050</v>
          </cell>
          <cell r="C25" t="str">
            <v>Cost of Sales -Samples to QAS</v>
          </cell>
          <cell r="F25">
            <v>8910.75</v>
          </cell>
        </row>
        <row r="26">
          <cell r="B26">
            <v>21000200</v>
          </cell>
          <cell r="C26" t="str">
            <v>Cost of Sales - Expired Stocks  &amp; Write offs</v>
          </cell>
          <cell r="F26">
            <v>5411880.9400000004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55151416.340000004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74172.289999999994</v>
          </cell>
        </row>
        <row r="43">
          <cell r="B43">
            <v>25000550</v>
          </cell>
          <cell r="C43" t="str">
            <v>Gratuity</v>
          </cell>
          <cell r="D43" t="str">
            <v>Ranga</v>
          </cell>
          <cell r="E43" t="str">
            <v>OK</v>
          </cell>
          <cell r="F43">
            <v>77675.259999999995</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586260.06000000006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208665.60000000001</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34452.980000000003</v>
          </cell>
        </row>
        <row r="67">
          <cell r="B67">
            <v>29999999</v>
          </cell>
          <cell r="C67" t="str">
            <v>Manufacturing OH-Absorption</v>
          </cell>
          <cell r="D67" t="str">
            <v>Manoj</v>
          </cell>
          <cell r="F67">
            <v>-1642750.4</v>
          </cell>
        </row>
        <row r="68">
          <cell r="B68">
            <v>30001500</v>
          </cell>
          <cell r="C68" t="str">
            <v>Bonus Issues</v>
          </cell>
          <cell r="D68" t="str">
            <v>Manoj</v>
          </cell>
          <cell r="F68">
            <v>11831702.439999999</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21761.040000000001</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5049.5600000000004</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19473.689999999999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2159.5100000000002</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332857.21999999997</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152115.10999999999</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17944.150000000001</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72145.600000000006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163797.79999999999</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19020.349999999999</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291705.34000000003</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4.8675505653430484E-3</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6156382.1099999994</v>
          </cell>
        </row>
        <row r="12">
          <cell r="A12" t="str">
            <v>DB006</v>
          </cell>
          <cell r="B12" t="str">
            <v>Vijitha Pharmacy</v>
          </cell>
          <cell r="C12">
            <v>3623120.8900000006</v>
          </cell>
          <cell r="D12">
            <v>1262187.4000000001</v>
          </cell>
          <cell r="E12">
            <v>898515.3</v>
          </cell>
          <cell r="F12">
            <v>345983.13</v>
          </cell>
          <cell r="G12">
            <v>0</v>
          </cell>
          <cell r="H12">
            <v>6025647.7200000007</v>
          </cell>
        </row>
        <row r="13">
          <cell r="A13" t="str">
            <v>DB007</v>
          </cell>
          <cell r="B13" t="str">
            <v>Asoka Pharma</v>
          </cell>
          <cell r="C13">
            <v>3998429.7800000003</v>
          </cell>
          <cell r="D13">
            <v>1380161.8299999998</v>
          </cell>
          <cell r="E13">
            <v>0</v>
          </cell>
          <cell r="F13">
            <v>0</v>
          </cell>
          <cell r="G13">
            <v>0</v>
          </cell>
          <cell r="H13">
            <v>5378591.6100000003</v>
          </cell>
        </row>
        <row r="14">
          <cell r="A14" t="str">
            <v>DB008</v>
          </cell>
          <cell r="B14" t="str">
            <v>CHL Marketing</v>
          </cell>
          <cell r="C14">
            <v>3446541.44</v>
          </cell>
          <cell r="D14">
            <v>94753.8</v>
          </cell>
          <cell r="E14">
            <v>776520.44000000006</v>
          </cell>
          <cell r="F14">
            <v>3555960.24</v>
          </cell>
          <cell r="G14">
            <v>1085032.8</v>
          </cell>
          <cell r="H14">
            <v>8958808.7200000007</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177411.84000000003</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3321339.5700000003</v>
          </cell>
          <cell r="D22">
            <v>383487.31000000011</v>
          </cell>
          <cell r="E22">
            <v>461782.52</v>
          </cell>
          <cell r="F22">
            <v>531451.90999999992</v>
          </cell>
          <cell r="G22">
            <v>0.4</v>
          </cell>
          <cell r="H22">
            <v>4714175.84</v>
          </cell>
        </row>
        <row r="23">
          <cell r="A23" t="str">
            <v>DB017</v>
          </cell>
          <cell r="B23" t="str">
            <v>Mawarani Distributors,</v>
          </cell>
          <cell r="C23">
            <v>3097316.1700000004</v>
          </cell>
          <cell r="D23">
            <v>461884.71999999986</v>
          </cell>
          <cell r="E23">
            <v>972751.60999999987</v>
          </cell>
          <cell r="F23">
            <v>1627577.66</v>
          </cell>
          <cell r="G23">
            <v>-70865.239999999991</v>
          </cell>
          <cell r="H23">
            <v>5997425.2599999998</v>
          </cell>
        </row>
        <row r="24">
          <cell r="A24" t="str">
            <v>DB018</v>
          </cell>
          <cell r="B24" t="str">
            <v>S &amp; D Agencies,</v>
          </cell>
          <cell r="C24">
            <v>1999601.3699999999</v>
          </cell>
          <cell r="D24">
            <v>341520.51</v>
          </cell>
          <cell r="E24">
            <v>475320.24</v>
          </cell>
          <cell r="F24">
            <v>0.02</v>
          </cell>
          <cell r="G24">
            <v>719917.90999999992</v>
          </cell>
          <cell r="H24">
            <v>3536360.05</v>
          </cell>
        </row>
        <row r="25">
          <cell r="A25" t="str">
            <v>DB019</v>
          </cell>
          <cell r="B25" t="str">
            <v>Glenic Distributors,</v>
          </cell>
          <cell r="C25">
            <v>2661380.69</v>
          </cell>
          <cell r="D25">
            <v>257512.64999999997</v>
          </cell>
          <cell r="E25">
            <v>1719042.02</v>
          </cell>
          <cell r="F25">
            <v>3239640.5999999996</v>
          </cell>
          <cell r="G25">
            <v>1377674.13</v>
          </cell>
          <cell r="H25">
            <v>9255250.0899999999</v>
          </cell>
        </row>
        <row r="26">
          <cell r="A26" t="str">
            <v>DB020</v>
          </cell>
          <cell r="B26" t="str">
            <v>Medicare</v>
          </cell>
          <cell r="C26">
            <v>3398335.0300000003</v>
          </cell>
          <cell r="D26">
            <v>325177.56</v>
          </cell>
          <cell r="E26">
            <v>502056</v>
          </cell>
          <cell r="F26">
            <v>381715.43</v>
          </cell>
          <cell r="G26">
            <v>0</v>
          </cell>
          <cell r="H26">
            <v>4607284.0199999996</v>
          </cell>
        </row>
        <row r="28">
          <cell r="B28" t="str">
            <v>Total for Distributors</v>
          </cell>
          <cell r="C28">
            <v>31600035.350000005</v>
          </cell>
          <cell r="D28">
            <v>6397209.7599999998</v>
          </cell>
          <cell r="E28">
            <v>6960940.5399999991</v>
          </cell>
          <cell r="F28">
            <v>12426751.149999999</v>
          </cell>
          <cell r="G28">
            <v>3790144.0199999996</v>
          </cell>
          <cell r="H28">
            <v>61581423.349999994</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64324.800000000003</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1218.5999999999999</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51245.990000000005</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25714.799999999999</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11915.099999999999</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22249.800000000003</v>
          </cell>
          <cell r="D85">
            <v>0</v>
          </cell>
          <cell r="E85">
            <v>0</v>
          </cell>
          <cell r="F85">
            <v>0</v>
          </cell>
          <cell r="G85">
            <v>0</v>
          </cell>
          <cell r="H85">
            <v>22249.8</v>
          </cell>
        </row>
        <row r="86">
          <cell r="A86" t="str">
            <v>DI037</v>
          </cell>
          <cell r="B86" t="str">
            <v>King's Super Market</v>
          </cell>
          <cell r="C86">
            <v>10494.460000000001</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33343535.720000006</v>
          </cell>
          <cell r="D98">
            <v>6371504.3300000001</v>
          </cell>
          <cell r="E98">
            <v>7050943.8399999989</v>
          </cell>
          <cell r="F98">
            <v>12554329.749999998</v>
          </cell>
          <cell r="G98">
            <v>3802002.6199999996</v>
          </cell>
          <cell r="H98">
            <v>63562505.659999996</v>
          </cell>
        </row>
        <row r="99">
          <cell r="H99">
            <v>0</v>
          </cell>
        </row>
        <row r="100">
          <cell r="B100" t="str">
            <v>Security Deposits</v>
          </cell>
        </row>
        <row r="101">
          <cell r="B101" t="str">
            <v>Nugegoda Chemist</v>
          </cell>
          <cell r="G101">
            <v>-168913.58000000002</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33343535.720000006</v>
          </cell>
          <cell r="D109">
            <v>6371504.3300000001</v>
          </cell>
          <cell r="E109">
            <v>7050943.8399999989</v>
          </cell>
          <cell r="F109">
            <v>12439576.979999999</v>
          </cell>
          <cell r="G109">
            <v>2935871.09</v>
          </cell>
          <cell r="H109">
            <v>62581621.359999999</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1976407.1099999999</v>
          </cell>
          <cell r="D6">
            <v>395191.23</v>
          </cell>
          <cell r="E6">
            <v>16703.439999999999</v>
          </cell>
          <cell r="F6">
            <v>-57016.6</v>
          </cell>
          <cell r="G6">
            <v>0</v>
          </cell>
          <cell r="H6">
            <v>0</v>
          </cell>
          <cell r="I6">
            <v>2331285.1799999997</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1710978.5700000003</v>
          </cell>
          <cell r="G9">
            <v>1057823.58</v>
          </cell>
          <cell r="H9">
            <v>0</v>
          </cell>
          <cell r="I9">
            <v>5914678.0700000003</v>
          </cell>
        </row>
        <row r="10">
          <cell r="A10" t="str">
            <v>DB006</v>
          </cell>
          <cell r="B10" t="str">
            <v>Vijitha Pharmacy</v>
          </cell>
          <cell r="C10">
            <v>3323127.1700000004</v>
          </cell>
          <cell r="D10">
            <v>367900.42</v>
          </cell>
          <cell r="E10">
            <v>894871.87000000011</v>
          </cell>
          <cell r="F10">
            <v>1588666.3</v>
          </cell>
          <cell r="G10">
            <v>345983.13</v>
          </cell>
          <cell r="H10">
            <v>-104159</v>
          </cell>
          <cell r="I10">
            <v>6416389.8900000006</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2163735.3400000003</v>
          </cell>
          <cell r="G12">
            <v>130157.72</v>
          </cell>
          <cell r="H12">
            <v>0</v>
          </cell>
          <cell r="I12">
            <v>7492512.0699999994</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43869.599999999999</v>
          </cell>
          <cell r="I17">
            <v>43869.599999999999</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3143935.9799999995</v>
          </cell>
          <cell r="D19">
            <v>1248825.9999999998</v>
          </cell>
          <cell r="E19">
            <v>255701.25</v>
          </cell>
          <cell r="F19">
            <v>1405362.6900000002</v>
          </cell>
          <cell r="G19">
            <v>-282835.33</v>
          </cell>
          <cell r="H19">
            <v>16114.529999999999</v>
          </cell>
          <cell r="I19">
            <v>5787105.1200000001</v>
          </cell>
        </row>
        <row r="20">
          <cell r="A20" t="str">
            <v>DB017</v>
          </cell>
          <cell r="B20" t="str">
            <v>Mawarani Distributors,</v>
          </cell>
          <cell r="C20">
            <v>2360333.87</v>
          </cell>
          <cell r="D20">
            <v>139857.84</v>
          </cell>
          <cell r="E20">
            <v>455361.99</v>
          </cell>
          <cell r="F20">
            <v>2338221.67</v>
          </cell>
          <cell r="G20">
            <v>318241.69</v>
          </cell>
          <cell r="H20">
            <v>-162104.90000000005</v>
          </cell>
          <cell r="I20">
            <v>5449912.1600000001</v>
          </cell>
        </row>
        <row r="21">
          <cell r="A21" t="str">
            <v>DB018</v>
          </cell>
          <cell r="B21" t="str">
            <v>S &amp; D Agencies,</v>
          </cell>
          <cell r="C21">
            <v>2243881.75</v>
          </cell>
          <cell r="D21">
            <v>118528.49</v>
          </cell>
          <cell r="E21">
            <v>797768.1399999999</v>
          </cell>
          <cell r="F21">
            <v>0</v>
          </cell>
          <cell r="G21">
            <v>0.02</v>
          </cell>
          <cell r="H21">
            <v>719917.90999999992</v>
          </cell>
          <cell r="I21">
            <v>3880096.3099999996</v>
          </cell>
        </row>
        <row r="22">
          <cell r="A22" t="str">
            <v>DB019</v>
          </cell>
          <cell r="B22" t="str">
            <v>Glenic Distributors,</v>
          </cell>
          <cell r="C22">
            <v>2286355.56</v>
          </cell>
          <cell r="D22">
            <v>0</v>
          </cell>
          <cell r="E22">
            <v>72198</v>
          </cell>
          <cell r="F22">
            <v>3188890.5500000003</v>
          </cell>
          <cell r="G22">
            <v>1610123.4</v>
          </cell>
          <cell r="H22">
            <v>0</v>
          </cell>
          <cell r="I22">
            <v>7157567.5099999998</v>
          </cell>
        </row>
        <row r="23">
          <cell r="A23" t="str">
            <v>DB020</v>
          </cell>
          <cell r="B23" t="str">
            <v>Medicare</v>
          </cell>
          <cell r="C23">
            <v>1074763.31</v>
          </cell>
          <cell r="D23">
            <v>846016.16999999993</v>
          </cell>
          <cell r="E23">
            <v>273321</v>
          </cell>
          <cell r="F23">
            <v>1684589.76</v>
          </cell>
          <cell r="G23">
            <v>86990.43</v>
          </cell>
          <cell r="H23">
            <v>0</v>
          </cell>
          <cell r="I23">
            <v>3965680.6700000004</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4649.3999999999996</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38921.919999999998</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1935.6499999999999</v>
          </cell>
          <cell r="I41">
            <v>2286.6499999999996</v>
          </cell>
        </row>
        <row r="42">
          <cell r="A42" t="str">
            <v>DI009</v>
          </cell>
          <cell r="B42" t="str">
            <v>Cargills (Ceylon) Ltd.</v>
          </cell>
          <cell r="C42">
            <v>175046.39</v>
          </cell>
          <cell r="D42">
            <v>157593.60000000001</v>
          </cell>
          <cell r="E42">
            <v>15082.2</v>
          </cell>
          <cell r="F42">
            <v>-32241.979999999996</v>
          </cell>
          <cell r="G42">
            <v>25714.799999999999</v>
          </cell>
          <cell r="H42">
            <v>-121023.54999999999</v>
          </cell>
          <cell r="I42">
            <v>220171.46000000002</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22582.079999999998</v>
          </cell>
          <cell r="I44">
            <v>54490.679999999993</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21329.559999999998</v>
          </cell>
          <cell r="I47">
            <v>21329.559999999998</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10397.700000000001</v>
          </cell>
          <cell r="F57">
            <v>0</v>
          </cell>
          <cell r="G57">
            <v>0</v>
          </cell>
          <cell r="H57">
            <v>0</v>
          </cell>
          <cell r="I57">
            <v>22249.800000000003</v>
          </cell>
        </row>
        <row r="58">
          <cell r="A58" t="str">
            <v>DI037</v>
          </cell>
          <cell r="B58" t="str">
            <v>King's Super Market</v>
          </cell>
          <cell r="C58">
            <v>0</v>
          </cell>
          <cell r="D58">
            <v>2477.2600000000002</v>
          </cell>
          <cell r="E58">
            <v>8017.2000000000007</v>
          </cell>
          <cell r="F58">
            <v>15982.2</v>
          </cell>
          <cell r="G58">
            <v>0</v>
          </cell>
          <cell r="H58">
            <v>0</v>
          </cell>
          <cell r="I58">
            <v>26476.660000000003</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27376936.349999998</v>
          </cell>
          <cell r="D64">
            <v>4954529.0999999987</v>
          </cell>
          <cell r="E64">
            <v>4132491.1000000006</v>
          </cell>
          <cell r="F64">
            <v>14554666.270000003</v>
          </cell>
          <cell r="G64">
            <v>3332709.3899999997</v>
          </cell>
          <cell r="H64">
            <v>848310.75999999954</v>
          </cell>
          <cell r="I64">
            <v>55199642.969999984</v>
          </cell>
        </row>
        <row r="67">
          <cell r="I67">
            <v>55199642.969999999</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62.668970000000002</v>
          </cell>
          <cell r="F12">
            <v>1.75</v>
          </cell>
          <cell r="G12">
            <v>0.55000000000000004</v>
          </cell>
          <cell r="H12">
            <v>4.45</v>
          </cell>
          <cell r="I12">
            <v>0</v>
          </cell>
        </row>
        <row r="13">
          <cell r="D13" t="str">
            <v>MEXICO-CAPITAL EMPLOYED - YE, M$</v>
          </cell>
          <cell r="E13">
            <v>62</v>
          </cell>
          <cell r="F13">
            <v>1.8</v>
          </cell>
          <cell r="G13">
            <v>0.7</v>
          </cell>
          <cell r="H13">
            <v>4.9000000000000004</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1.1000000000000001</v>
          </cell>
          <cell r="G19">
            <v>0.5</v>
          </cell>
          <cell r="H19">
            <v>2</v>
          </cell>
          <cell r="I19">
            <v>0</v>
          </cell>
        </row>
        <row r="20">
          <cell r="D20" t="str">
            <v>MEXICO-PROP, PLANT, &amp; EQUIP - NET AVG, M$</v>
          </cell>
          <cell r="E20">
            <v>16.613284999999998</v>
          </cell>
          <cell r="F20">
            <v>0.5</v>
          </cell>
          <cell r="G20">
            <v>0.15</v>
          </cell>
          <cell r="H20">
            <v>1.1499999999999999</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1.1000000000000001</v>
          </cell>
          <cell r="G23">
            <v>0.2</v>
          </cell>
          <cell r="H23">
            <v>2.2000000000000002</v>
          </cell>
          <cell r="I23">
            <v>0</v>
          </cell>
        </row>
        <row r="24">
          <cell r="D24" t="str">
            <v>MEXICO-TOTAL OPEX, US$ DENOM, M$</v>
          </cell>
          <cell r="E24">
            <v>3.9</v>
          </cell>
          <cell r="F24">
            <v>0.2</v>
          </cell>
          <cell r="G24">
            <v>0</v>
          </cell>
          <cell r="H24">
            <v>0</v>
          </cell>
          <cell r="I24">
            <v>0</v>
          </cell>
        </row>
        <row r="25">
          <cell r="D25" t="str">
            <v>MEXICO-CASH OPEX, FX-ADJ, M$</v>
          </cell>
          <cell r="E25">
            <v>41.176199868507567</v>
          </cell>
          <cell r="F25">
            <v>1.1643655489809337</v>
          </cell>
          <cell r="G25">
            <v>0.21170282708744251</v>
          </cell>
          <cell r="H25">
            <v>2.3287310979618674</v>
          </cell>
          <cell r="I25">
            <v>0</v>
          </cell>
        </row>
        <row r="26">
          <cell r="D26" t="str">
            <v>MEXICO-CASH OPEX, NOMINAL, M$</v>
          </cell>
          <cell r="E26">
            <v>38.9</v>
          </cell>
          <cell r="F26">
            <v>1.1000000000000001</v>
          </cell>
          <cell r="G26">
            <v>0.2</v>
          </cell>
          <cell r="H26">
            <v>2.2000000000000002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2.2000000000000002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433.15580849999992</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80.099999999999994</v>
          </cell>
          <cell r="F43">
            <v>2.2000000000000002</v>
          </cell>
          <cell r="G43">
            <v>0</v>
          </cell>
          <cell r="H43">
            <v>0</v>
          </cell>
          <cell r="I43">
            <v>0</v>
          </cell>
        </row>
        <row r="44">
          <cell r="D44" t="str">
            <v>UNITED STATES-PROP, PLANT, &amp; EQUIP - NET AVG, M$</v>
          </cell>
          <cell r="E44">
            <v>300.43729499999995</v>
          </cell>
          <cell r="F44">
            <v>19.05</v>
          </cell>
          <cell r="G44">
            <v>0</v>
          </cell>
          <cell r="H44">
            <v>0</v>
          </cell>
          <cell r="I44">
            <v>0</v>
          </cell>
        </row>
        <row r="45">
          <cell r="D45" t="str">
            <v>UNITED STATES-PROP, PLANT, &amp; EQUIP - NET YE, M$</v>
          </cell>
          <cell r="E45">
            <v>295.39999999999998</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29.916262000000003</v>
          </cell>
          <cell r="I47">
            <v>16.7</v>
          </cell>
        </row>
        <row r="48">
          <cell r="D48" t="str">
            <v>UNITED STATES-TOTAL OPEX, US$ DENOM, M$</v>
          </cell>
          <cell r="E48">
            <v>0</v>
          </cell>
          <cell r="F48">
            <v>0</v>
          </cell>
          <cell r="G48">
            <v>0</v>
          </cell>
          <cell r="H48">
            <v>0</v>
          </cell>
          <cell r="I48">
            <v>0</v>
          </cell>
        </row>
        <row r="49">
          <cell r="D49" t="str">
            <v>UNITED STATES-CASH OPEX, FX-ADJ, M$</v>
          </cell>
          <cell r="E49">
            <v>451.15800000000002</v>
          </cell>
          <cell r="F49">
            <v>41.293000000000006</v>
          </cell>
          <cell r="G49">
            <v>-2.544000000000004</v>
          </cell>
          <cell r="H49">
            <v>28.052792000000004</v>
          </cell>
          <cell r="I49">
            <v>16.7</v>
          </cell>
        </row>
        <row r="50">
          <cell r="D50" t="str">
            <v>UNITED STATES-CASH OPEX, NOMINAL, M$</v>
          </cell>
          <cell r="E50">
            <v>451.15800000000002</v>
          </cell>
          <cell r="F50">
            <v>41.293000000000006</v>
          </cell>
          <cell r="G50">
            <v>-2.544000000000004</v>
          </cell>
          <cell r="H50">
            <v>28.052792000000004</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-2.2999999999999998</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16.285975000000001</v>
          </cell>
          <cell r="F132">
            <v>1.3896036626109662</v>
          </cell>
          <cell r="G132">
            <v>0.13488386967824242</v>
          </cell>
          <cell r="H132">
            <v>0.13324433997660998</v>
          </cell>
          <cell r="I132">
            <v>0</v>
          </cell>
        </row>
        <row r="133">
          <cell r="D133" t="str">
            <v>ARGENTINA-CAPITAL EMPLOYED - YE, M$</v>
          </cell>
          <cell r="E133">
            <v>12</v>
          </cell>
          <cell r="F133">
            <v>1.1000000000000001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-7.0000000000000007E-2</v>
          </cell>
          <cell r="H138">
            <v>-0.03</v>
          </cell>
          <cell r="I138">
            <v>0</v>
          </cell>
        </row>
        <row r="139">
          <cell r="D139" t="str">
            <v>ARGENTINA-OTHER OPERATING WORKING CAPITAL, M$</v>
          </cell>
          <cell r="E139">
            <v>1.9</v>
          </cell>
          <cell r="F139">
            <v>0.2</v>
          </cell>
          <cell r="G139">
            <v>0.03</v>
          </cell>
          <cell r="H139">
            <v>7.0000000000000007E-2</v>
          </cell>
          <cell r="I139">
            <v>0</v>
          </cell>
        </row>
        <row r="140">
          <cell r="D140" t="str">
            <v>ARGENTINA-PROP, PLANT, &amp; EQUIP - NET AVG, M$</v>
          </cell>
          <cell r="E140">
            <v>9.7249999999999996</v>
          </cell>
          <cell r="F140">
            <v>0.77388942500000002</v>
          </cell>
          <cell r="G140">
            <v>0.08</v>
          </cell>
          <cell r="H140">
            <v>0.02</v>
          </cell>
          <cell r="I140">
            <v>0</v>
          </cell>
        </row>
        <row r="141">
          <cell r="D141" t="str">
            <v>ARGENTINA-PROP, PLANT, &amp; EQUIP - NET YE, M$</v>
          </cell>
          <cell r="E141">
            <v>9.1999999999999993</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9.1999999999999993</v>
          </cell>
          <cell r="F143">
            <v>0.9</v>
          </cell>
          <cell r="G143">
            <v>0.3</v>
          </cell>
          <cell r="H143">
            <v>0</v>
          </cell>
          <cell r="I143">
            <v>0</v>
          </cell>
        </row>
        <row r="144">
          <cell r="D144" t="str">
            <v>ARGENTINA-TOTAL OPEX, US$ DENOM, M$</v>
          </cell>
          <cell r="E144">
            <v>4.0999999999999996</v>
          </cell>
          <cell r="F144">
            <v>0</v>
          </cell>
          <cell r="G144">
            <v>0</v>
          </cell>
          <cell r="H144">
            <v>0</v>
          </cell>
          <cell r="I144">
            <v>0</v>
          </cell>
        </row>
        <row r="145">
          <cell r="D145" t="str">
            <v>ARGENTINA-CASH OPEX, FX-ADJ, M$</v>
          </cell>
          <cell r="E145">
            <v>9.8566389293174268</v>
          </cell>
          <cell r="F145">
            <v>1.2048779154385318</v>
          </cell>
          <cell r="G145">
            <v>0.40162597181284387</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4.0999999999999996</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-20.399999999999999</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45.563253000000003</v>
          </cell>
          <cell r="F156">
            <v>4.5075495349718366</v>
          </cell>
          <cell r="G156">
            <v>9.0870282973969964E-3</v>
          </cell>
          <cell r="H156">
            <v>3.444488877138737</v>
          </cell>
          <cell r="I156">
            <v>0</v>
          </cell>
        </row>
        <row r="157">
          <cell r="D157" t="str">
            <v>BRAZIL-CAPITAL EMPLOYED - YE, M$</v>
          </cell>
          <cell r="E157">
            <v>46.3</v>
          </cell>
          <cell r="F157">
            <v>4.0999999999999996</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17.275500000000001</v>
          </cell>
          <cell r="F164">
            <v>1.2350000000000001</v>
          </cell>
          <cell r="G164">
            <v>1.9317404179725311E-3</v>
          </cell>
          <cell r="H164">
            <v>1.0314484104909034</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42.606855114263581</v>
          </cell>
          <cell r="F169">
            <v>3.2542977196345522</v>
          </cell>
          <cell r="G169">
            <v>0</v>
          </cell>
          <cell r="H169">
            <v>1.5923893197452945</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12.945436326334635</v>
          </cell>
          <cell r="F180">
            <v>1.0093642833648546</v>
          </cell>
          <cell r="G180">
            <v>0.56169225566257697</v>
          </cell>
          <cell r="H180">
            <v>0.26715889635382772</v>
          </cell>
          <cell r="I180">
            <v>3.0361580730974544E-2</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0.72611399999999993</v>
          </cell>
          <cell r="F183">
            <v>0.11723</v>
          </cell>
          <cell r="G183">
            <v>0</v>
          </cell>
          <cell r="H183">
            <v>1.6310000000000001E-3</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4.4194431644841217</v>
          </cell>
          <cell r="F188">
            <v>0.30103127074358782</v>
          </cell>
          <cell r="G188">
            <v>0</v>
          </cell>
          <cell r="H188">
            <v>9.8814927330280064E-2</v>
          </cell>
          <cell r="I188">
            <v>9.4586224420105912E-3</v>
          </cell>
        </row>
        <row r="189">
          <cell r="D189" t="str">
            <v>CARIBBEAN [LS]-PROP, PLANT, &amp; EQUIP - NET YE, M$</v>
          </cell>
          <cell r="E189">
            <v>5.0999999999999996</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1.1000000000000001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6.5088776106848538</v>
          </cell>
          <cell r="F193">
            <v>0.91744648290233988</v>
          </cell>
          <cell r="G193">
            <v>0</v>
          </cell>
          <cell r="H193">
            <v>9.0159935966657223E-2</v>
          </cell>
          <cell r="I193">
            <v>0</v>
          </cell>
        </row>
        <row r="194">
          <cell r="D194" t="str">
            <v>CARIBBEAN [LS]-CASH OPEX, NOMINAL, M$</v>
          </cell>
          <cell r="E194">
            <v>6.8738859999999997</v>
          </cell>
          <cell r="F194">
            <v>0.98277000000000014</v>
          </cell>
          <cell r="G194">
            <v>0</v>
          </cell>
          <cell r="H194">
            <v>9.8369000000000012E-2</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13.701966632439166</v>
          </cell>
          <cell r="F204">
            <v>1.0307157403881544</v>
          </cell>
          <cell r="G204">
            <v>0.12228056920541903</v>
          </cell>
          <cell r="H204">
            <v>1.7651688552763636</v>
          </cell>
          <cell r="I204">
            <v>1.8016253882824662</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1.1097809999999999</v>
          </cell>
          <cell r="F207">
            <v>0.214698</v>
          </cell>
          <cell r="G207">
            <v>0</v>
          </cell>
          <cell r="H207">
            <v>0</v>
          </cell>
          <cell r="I207">
            <v>5.7990000000000003E-3</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6.246467269121597</v>
          </cell>
          <cell r="F212">
            <v>0.38172573285804678</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8.1999999999999993</v>
          </cell>
          <cell r="F215">
            <v>1.1000000000000001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7.0321022316227459</v>
          </cell>
          <cell r="F217">
            <v>0.87718408044382801</v>
          </cell>
          <cell r="G217">
            <v>0</v>
          </cell>
          <cell r="H217">
            <v>0.49722607489597781</v>
          </cell>
          <cell r="I217">
            <v>0.38873357975034678</v>
          </cell>
        </row>
        <row r="218">
          <cell r="D218" t="str">
            <v>CENTAM [LS]-CASH OPEX, NOMINAL, M$</v>
          </cell>
          <cell r="E218">
            <v>7.0902189999999994</v>
          </cell>
          <cell r="F218">
            <v>0.88530200000000003</v>
          </cell>
          <cell r="G218">
            <v>0</v>
          </cell>
          <cell r="H218">
            <v>0.5</v>
          </cell>
          <cell r="I218">
            <v>0.39420100000000002</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0.59172999999999998</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0.28000000000000003</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1.1000000000000001</v>
          </cell>
          <cell r="F235">
            <v>0.1</v>
          </cell>
          <cell r="G235">
            <v>7.0000000000000007E-2</v>
          </cell>
          <cell r="H235">
            <v>0.13</v>
          </cell>
          <cell r="I235">
            <v>0</v>
          </cell>
        </row>
        <row r="236">
          <cell r="D236" t="str">
            <v>CHILE-PROP, PLANT, &amp; EQUIP - NET AVG, M$</v>
          </cell>
          <cell r="E236">
            <v>1.9893399999999999</v>
          </cell>
          <cell r="F236">
            <v>0.13891999999999999</v>
          </cell>
          <cell r="G236">
            <v>0</v>
          </cell>
          <cell r="H236">
            <v>0.15373999999999999</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4.0999999999999996</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4.1613571428571419</v>
          </cell>
          <cell r="F241">
            <v>0.40766964285714291</v>
          </cell>
          <cell r="G241">
            <v>0</v>
          </cell>
          <cell r="H241">
            <v>0.20511309523809521</v>
          </cell>
          <cell r="I241">
            <v>0</v>
          </cell>
        </row>
        <row r="242">
          <cell r="D242" t="str">
            <v>CHILE-CASH OPEX, NOMINAL, M$</v>
          </cell>
          <cell r="E242">
            <v>4.0999999999999996</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23.447290616373039</v>
          </cell>
          <cell r="F252">
            <v>0.52057373632561021</v>
          </cell>
          <cell r="G252">
            <v>0.20250047906353433</v>
          </cell>
          <cell r="H252">
            <v>1.0058145720283638</v>
          </cell>
          <cell r="I252">
            <v>0</v>
          </cell>
        </row>
        <row r="253">
          <cell r="D253" t="str">
            <v>COLOMBIA-CAPITAL EMPLOYED - YE, M$</v>
          </cell>
          <cell r="E253">
            <v>25.13</v>
          </cell>
          <cell r="F253">
            <v>0.5</v>
          </cell>
          <cell r="G253">
            <v>0.28000000000000003</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1.2754609034169271</v>
          </cell>
          <cell r="F255">
            <v>2.2123816073471657E-2</v>
          </cell>
          <cell r="G255">
            <v>0</v>
          </cell>
          <cell r="H255">
            <v>2.3796480509601408E-2</v>
          </cell>
          <cell r="I255">
            <v>0</v>
          </cell>
        </row>
        <row r="256">
          <cell r="D256" t="str">
            <v>COLOMBIA-MEMO: EAFE CHANGE, CAP EMP, M$</v>
          </cell>
          <cell r="E256">
            <v>1.1000000000000001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0.55000000000000004</v>
          </cell>
          <cell r="I259">
            <v>0</v>
          </cell>
        </row>
        <row r="260">
          <cell r="D260" t="str">
            <v>COLOMBIA-PROP, PLANT, &amp; EQUIP - NET AVG, M$</v>
          </cell>
          <cell r="E260">
            <v>9.8475000000000001</v>
          </cell>
          <cell r="F260">
            <v>0.19890957993317437</v>
          </cell>
          <cell r="G260">
            <v>9.5509397527958936E-4</v>
          </cell>
          <cell r="H260">
            <v>0.12679135714547096</v>
          </cell>
          <cell r="I260">
            <v>0</v>
          </cell>
        </row>
        <row r="261">
          <cell r="D261" t="str">
            <v>COLOMBIA-PROP, PLANT, &amp; EQUIP - NET YE, M$</v>
          </cell>
          <cell r="E261">
            <v>15.3</v>
          </cell>
          <cell r="F261">
            <v>0.25</v>
          </cell>
          <cell r="G261">
            <v>0</v>
          </cell>
          <cell r="H261">
            <v>0.14000000000000001</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25.010597967747746</v>
          </cell>
          <cell r="F265">
            <v>0.39497510169225469</v>
          </cell>
          <cell r="G265">
            <v>0</v>
          </cell>
          <cell r="H265">
            <v>0.70550637194956689</v>
          </cell>
          <cell r="I265">
            <v>0</v>
          </cell>
        </row>
        <row r="266">
          <cell r="D266" t="str">
            <v>COLOMBIA-CASH OPEX, NOMINAL, M$</v>
          </cell>
          <cell r="E266">
            <v>24.024539096583073</v>
          </cell>
          <cell r="F266">
            <v>0.37787618392652839</v>
          </cell>
          <cell r="G266">
            <v>0</v>
          </cell>
          <cell r="H266">
            <v>0.67620351949039859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5.3952249999999999</v>
          </cell>
          <cell r="F276">
            <v>2.0499999999999998</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1.333235119047619</v>
          </cell>
          <cell r="F289">
            <v>-0.1025565476190476</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7.7836878798006408</v>
          </cell>
          <cell r="F300">
            <v>1.0561148898509187</v>
          </cell>
          <cell r="G300">
            <v>0.12477381799223614</v>
          </cell>
          <cell r="H300">
            <v>0.10782419780155546</v>
          </cell>
          <cell r="I300">
            <v>4.9617158289352239E-63</v>
          </cell>
        </row>
        <row r="301">
          <cell r="D301" t="str">
            <v>ECUADOR-CAPITAL EMPLOYED - YE, M$</v>
          </cell>
          <cell r="E301">
            <v>8.8000000000000007</v>
          </cell>
          <cell r="F301">
            <v>1.1000000000000001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7.0000000000000007E-2</v>
          </cell>
          <cell r="I305">
            <v>0</v>
          </cell>
        </row>
        <row r="306">
          <cell r="D306" t="str">
            <v>ECUADOR-OTHER CAPITAL EMPLOYED, M$</v>
          </cell>
          <cell r="E306">
            <v>4.4000000000000004</v>
          </cell>
          <cell r="F306">
            <v>0.6</v>
          </cell>
          <cell r="G306">
            <v>0</v>
          </cell>
          <cell r="H306">
            <v>0.1</v>
          </cell>
          <cell r="I306">
            <v>0</v>
          </cell>
        </row>
        <row r="307">
          <cell r="D307" t="str">
            <v>ECUADOR-OTHER OPERATING WORKING CAPITAL, M$</v>
          </cell>
          <cell r="E307">
            <v>2.1</v>
          </cell>
          <cell r="F307">
            <v>0.3</v>
          </cell>
          <cell r="G307">
            <v>0.03</v>
          </cell>
          <cell r="H307">
            <v>7.0000000000000007E-2</v>
          </cell>
          <cell r="I307">
            <v>0</v>
          </cell>
        </row>
        <row r="308">
          <cell r="D308" t="str">
            <v>ECUADOR-PROP, PLANT, &amp; EQUIP - NET AVG, M$</v>
          </cell>
          <cell r="E308">
            <v>0.64711278416470153</v>
          </cell>
          <cell r="F308">
            <v>7.766073174387543E-2</v>
          </cell>
          <cell r="G308">
            <v>4.5174991651048662E-5</v>
          </cell>
          <cell r="H308">
            <v>3.2951160497721298E-3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0.68465239805787104</v>
          </cell>
          <cell r="F324">
            <v>5.0676752595507801E-2</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1.1110575000000001E-2</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0.67684219324640582</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2.2000000000000002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20.287505755910949</v>
          </cell>
          <cell r="F348">
            <v>1.3550239094123286</v>
          </cell>
          <cell r="G348">
            <v>1.4999999999999999E-2</v>
          </cell>
          <cell r="H348">
            <v>1.1786641760320369</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4.4000000000000004</v>
          </cell>
          <cell r="F355">
            <v>0.3</v>
          </cell>
          <cell r="G355">
            <v>0</v>
          </cell>
          <cell r="H355">
            <v>0.2</v>
          </cell>
          <cell r="I355">
            <v>0</v>
          </cell>
        </row>
        <row r="356">
          <cell r="D356" t="str">
            <v>PERU-PROP, PLANT, &amp; EQUIP - NET AVG, M$</v>
          </cell>
          <cell r="E356">
            <v>9.2546580024382443</v>
          </cell>
          <cell r="F356">
            <v>0.5327650587193784</v>
          </cell>
          <cell r="G356">
            <v>0</v>
          </cell>
          <cell r="H356">
            <v>0.23446691905409806</v>
          </cell>
          <cell r="I356">
            <v>0</v>
          </cell>
        </row>
        <row r="357">
          <cell r="D357" t="str">
            <v>PERU-PROP, PLANT, &amp; EQUIP - NET YE, M$</v>
          </cell>
          <cell r="E357">
            <v>9.8000000000000007</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10.225959420289854</v>
          </cell>
          <cell r="F361">
            <v>0.805904347826087</v>
          </cell>
          <cell r="G361">
            <v>0</v>
          </cell>
          <cell r="H361">
            <v>0.50787246376811601</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6.4349999999999996</v>
          </cell>
          <cell r="F372">
            <v>0.05</v>
          </cell>
          <cell r="G372">
            <v>0</v>
          </cell>
          <cell r="H372">
            <v>7.0000000000000007E-2</v>
          </cell>
          <cell r="I372">
            <v>0</v>
          </cell>
        </row>
        <row r="373">
          <cell r="D373" t="str">
            <v>TAMCO-CAPITAL EMPLOYED - YE, M$</v>
          </cell>
          <cell r="E373">
            <v>5.07</v>
          </cell>
          <cell r="F373">
            <v>0.1</v>
          </cell>
          <cell r="G373">
            <v>0</v>
          </cell>
          <cell r="H373">
            <v>0.14000000000000001</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0.27943884138037667</v>
          </cell>
          <cell r="F375">
            <v>5.6063191811744351E-3</v>
          </cell>
          <cell r="G375">
            <v>0</v>
          </cell>
          <cell r="H375">
            <v>7.3786394384489327E-3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2.5000000000000001E-2</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0.76490038849644892</v>
          </cell>
          <cell r="F385">
            <v>-5.951300133815781E-3</v>
          </cell>
          <cell r="G385">
            <v>0</v>
          </cell>
          <cell r="H385">
            <v>-7.8326788857962532E-3</v>
          </cell>
          <cell r="I385">
            <v>0</v>
          </cell>
        </row>
        <row r="386">
          <cell r="D386" t="str">
            <v>TAMCO-CASH OPEX, NOMINAL, M$</v>
          </cell>
          <cell r="E386">
            <v>0.72056115861962333</v>
          </cell>
          <cell r="F386">
            <v>-5.6063191811744351E-3</v>
          </cell>
          <cell r="G386">
            <v>0</v>
          </cell>
          <cell r="H386">
            <v>-7.3786394384489327E-3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0.91474147626438174</v>
          </cell>
          <cell r="F396">
            <v>2.7824043419243896E-2</v>
          </cell>
          <cell r="G396">
            <v>0</v>
          </cell>
          <cell r="H396">
            <v>2.0876980316374378E-2</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0.87410071942446055</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18.13090453532244</v>
          </cell>
          <cell r="F420">
            <v>0.84173020713606006</v>
          </cell>
          <cell r="G420">
            <v>0</v>
          </cell>
          <cell r="H420">
            <v>0.12672375754149962</v>
          </cell>
          <cell r="I420">
            <v>0</v>
          </cell>
        </row>
        <row r="421">
          <cell r="D421" t="str">
            <v>VENEZUELA-CAPITAL EMPLOYED - YE, M$</v>
          </cell>
          <cell r="E421">
            <v>19.399999999999999</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3.9215307879999997</v>
          </cell>
          <cell r="F423">
            <v>0.19462718799999998</v>
          </cell>
          <cell r="G423">
            <v>0</v>
          </cell>
          <cell r="H423">
            <v>3.0350723999999999E-2</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2.1086709592852553</v>
          </cell>
          <cell r="F428">
            <v>7.6697937618439571E-2</v>
          </cell>
          <cell r="G428">
            <v>0</v>
          </cell>
          <cell r="H428">
            <v>5.9941030963050913E-3</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8.3000000000000007</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4.4965151767446985</v>
          </cell>
          <cell r="F433">
            <v>0.86126920508635174</v>
          </cell>
          <cell r="G433">
            <v>0</v>
          </cell>
          <cell r="H433">
            <v>-3.3153122729395489E-2</v>
          </cell>
          <cell r="I433">
            <v>0</v>
          </cell>
        </row>
        <row r="434">
          <cell r="D434" t="str">
            <v>VENEZUELA-CASH OPEX, NOMINAL, M$</v>
          </cell>
          <cell r="E434">
            <v>4.3784692120000006</v>
          </cell>
          <cell r="F434">
            <v>0.80537281199999999</v>
          </cell>
          <cell r="G434">
            <v>0</v>
          </cell>
          <cell r="H434">
            <v>-3.0350723999999999E-2</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0.49814675905821765</v>
          </cell>
          <cell r="G510">
            <v>0.5373737667533619</v>
          </cell>
          <cell r="H510">
            <v>-5.3298342826323675E-3</v>
          </cell>
          <cell r="I510">
            <v>0.45646255959691506</v>
          </cell>
        </row>
        <row r="511">
          <cell r="D511" t="str">
            <v>IOL-OPERATING EARNINGS, M$</v>
          </cell>
          <cell r="E511">
            <v>7</v>
          </cell>
          <cell r="F511">
            <v>0.49814675905821765</v>
          </cell>
          <cell r="G511">
            <v>0.5373737667533619</v>
          </cell>
          <cell r="H511">
            <v>-5.3298342826323675E-3</v>
          </cell>
          <cell r="I511">
            <v>0.45646255959691506</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31.901499999999999</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-10.199999999999999</v>
          </cell>
          <cell r="F523">
            <v>0</v>
          </cell>
          <cell r="G523">
            <v>3.5</v>
          </cell>
          <cell r="H523">
            <v>3.5</v>
          </cell>
          <cell r="I523">
            <v>5.7</v>
          </cell>
        </row>
        <row r="524">
          <cell r="D524" t="str">
            <v>IOL-PROP, PLANT, &amp; EQUIP - NET AVG, M$</v>
          </cell>
          <cell r="E524">
            <v>45.475499999999997</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1.1499999999999999</v>
          </cell>
          <cell r="H526">
            <v>1.1499999999999999</v>
          </cell>
          <cell r="I526">
            <v>1.7</v>
          </cell>
        </row>
        <row r="527">
          <cell r="D527" t="str">
            <v>IOL-TOTAL OPEX, NOMINAL, M$</v>
          </cell>
          <cell r="E527">
            <v>75.709369762531338</v>
          </cell>
          <cell r="F527">
            <v>1.9211753945106029</v>
          </cell>
          <cell r="G527">
            <v>0.65638143666815252</v>
          </cell>
          <cell r="H527">
            <v>3.3398315551168594</v>
          </cell>
          <cell r="I527">
            <v>5.4077506966821627</v>
          </cell>
        </row>
        <row r="528">
          <cell r="D528" t="str">
            <v>IOL-TOTAL OPEX, US$ DENOM, M$</v>
          </cell>
          <cell r="E528">
            <v>75.738311818123933</v>
          </cell>
          <cell r="F528">
            <v>1.9072818900846971</v>
          </cell>
          <cell r="G528">
            <v>0</v>
          </cell>
          <cell r="H528">
            <v>0</v>
          </cell>
          <cell r="I528">
            <v>0</v>
          </cell>
        </row>
        <row r="529">
          <cell r="D529" t="str">
            <v>IOL-CASH OPEX, FX-ADJ, M$</v>
          </cell>
          <cell r="E529">
            <v>75.757950493823444</v>
          </cell>
          <cell r="F529">
            <v>1.9212671272641841</v>
          </cell>
          <cell r="G529">
            <v>0.66071523717948699</v>
          </cell>
          <cell r="H529">
            <v>3.3618830070512846</v>
          </cell>
          <cell r="I529">
            <v>5.4434557173076916</v>
          </cell>
        </row>
        <row r="530">
          <cell r="D530" t="str">
            <v>IOL-CASH OPEX, NOMINAL, M$</v>
          </cell>
          <cell r="E530">
            <v>75.709369762531338</v>
          </cell>
          <cell r="F530">
            <v>1.9211753945106029</v>
          </cell>
          <cell r="G530">
            <v>0.65638143666815252</v>
          </cell>
          <cell r="H530">
            <v>3.3398315551168594</v>
          </cell>
          <cell r="I530">
            <v>5.4077506966821627</v>
          </cell>
        </row>
        <row r="531">
          <cell r="D531" t="str">
            <v>IOL-CASH OPEX, US$ DENOM, M$</v>
          </cell>
          <cell r="E531">
            <v>68.351511430911287</v>
          </cell>
          <cell r="F531">
            <v>1.9072818900846971</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4.0000000000000001E-3</v>
          </cell>
          <cell r="H606">
            <v>0.55799999999999994</v>
          </cell>
          <cell r="I606">
            <v>1.2</v>
          </cell>
        </row>
        <row r="607">
          <cell r="D607" t="str">
            <v>AUSTRIA-OPERATING EARNINGS, M$</v>
          </cell>
          <cell r="E607">
            <v>-3.94</v>
          </cell>
          <cell r="F607">
            <v>0.4</v>
          </cell>
          <cell r="G607">
            <v>4.0000000000000001E-3</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1.4079999999999999</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-2.7743549999999995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-4.4000000000000004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-2.2999999999999998</v>
          </cell>
          <cell r="I619">
            <v>-0.3</v>
          </cell>
        </row>
        <row r="620">
          <cell r="D620" t="str">
            <v>AUSTRIA-PROP, PLANT, &amp; EQUIP - NET AVG, M$</v>
          </cell>
          <cell r="E620">
            <v>2.7996499999999997</v>
          </cell>
          <cell r="F620">
            <v>0</v>
          </cell>
          <cell r="G620">
            <v>0</v>
          </cell>
          <cell r="H620">
            <v>7.65</v>
          </cell>
          <cell r="I620">
            <v>0</v>
          </cell>
        </row>
        <row r="621">
          <cell r="D621" t="str">
            <v>AUSTRIA-PROP, PLANT, &amp; EQUIP - NET YE, M$</v>
          </cell>
          <cell r="E621">
            <v>4.5999999999999996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0.38799999999999996</v>
          </cell>
          <cell r="G623">
            <v>0</v>
          </cell>
          <cell r="H623">
            <v>5.0090000000000003</v>
          </cell>
          <cell r="I623">
            <v>0.77400000000000002</v>
          </cell>
        </row>
        <row r="624">
          <cell r="D624" t="str">
            <v>AUSTRIA-TOTAL OPEX, US$ DENOM, M$</v>
          </cell>
          <cell r="E624">
            <v>2.3069999999999999</v>
          </cell>
          <cell r="F624">
            <v>0.122</v>
          </cell>
          <cell r="G624">
            <v>0</v>
          </cell>
          <cell r="H624">
            <v>0.21099999999999999</v>
          </cell>
          <cell r="I624">
            <v>0.109</v>
          </cell>
        </row>
        <row r="625">
          <cell r="D625" t="str">
            <v>AUSTRIA-CASH OPEX, FX-ADJ, M$</v>
          </cell>
          <cell r="E625">
            <v>12.032424822064057</v>
          </cell>
          <cell r="F625">
            <v>0.36943994661921709</v>
          </cell>
          <cell r="G625">
            <v>0</v>
          </cell>
          <cell r="H625">
            <v>4.2518919039145908</v>
          </cell>
          <cell r="I625">
            <v>0.73465613879003555</v>
          </cell>
        </row>
        <row r="626">
          <cell r="D626" t="str">
            <v>AUSTRIA-CASH OPEX, NOMINAL, M$</v>
          </cell>
          <cell r="E626">
            <v>12.644</v>
          </cell>
          <cell r="F626">
            <v>0.38500000000000001</v>
          </cell>
          <cell r="G626">
            <v>0</v>
          </cell>
          <cell r="H626">
            <v>4.5060000000000002</v>
          </cell>
          <cell r="I626">
            <v>0.77400000000000002</v>
          </cell>
        </row>
        <row r="627">
          <cell r="D627" t="str">
            <v>AUSTRIA-CASH OPEX, US$ DENOM, M$</v>
          </cell>
          <cell r="E627">
            <v>2.3069999999999999</v>
          </cell>
          <cell r="F627">
            <v>0.122</v>
          </cell>
          <cell r="G627">
            <v>0</v>
          </cell>
          <cell r="H627">
            <v>0.21099999999999999</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-0.20072018750000004</v>
          </cell>
          <cell r="F630">
            <v>2.5582000000000001E-2</v>
          </cell>
          <cell r="G630">
            <v>0</v>
          </cell>
          <cell r="H630">
            <v>-0.12702040039062498</v>
          </cell>
          <cell r="I630">
            <v>0</v>
          </cell>
        </row>
        <row r="631">
          <cell r="D631" t="str">
            <v>BALKANS-OPERATING EARNINGS, M$</v>
          </cell>
          <cell r="E631">
            <v>-0.20072018750000004</v>
          </cell>
          <cell r="F631">
            <v>2.5582000000000001E-2</v>
          </cell>
          <cell r="G631">
            <v>0</v>
          </cell>
          <cell r="H631">
            <v>-0.12702040039062498</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3.0028304999999995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0.11150700000000001</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5.0599999843750005</v>
          </cell>
          <cell r="F647">
            <v>0</v>
          </cell>
          <cell r="G647">
            <v>0</v>
          </cell>
          <cell r="H647">
            <v>0.43899999218750002</v>
          </cell>
          <cell r="I647">
            <v>0</v>
          </cell>
        </row>
        <row r="648">
          <cell r="D648" t="str">
            <v>BALKANS-TOTAL OPEX, US$ DENOM, M$</v>
          </cell>
          <cell r="E648">
            <v>2.3253789999999999</v>
          </cell>
          <cell r="F648">
            <v>0</v>
          </cell>
          <cell r="G648">
            <v>0</v>
          </cell>
          <cell r="H648">
            <v>0.58134399999999997</v>
          </cell>
          <cell r="I648">
            <v>0</v>
          </cell>
        </row>
        <row r="649">
          <cell r="D649" t="str">
            <v>BALKANS-CASH OPEX, FX-ADJ, M$</v>
          </cell>
          <cell r="E649">
            <v>4.7808205803773474</v>
          </cell>
          <cell r="F649">
            <v>0</v>
          </cell>
          <cell r="G649">
            <v>0</v>
          </cell>
          <cell r="H649">
            <v>0.34277648385754877</v>
          </cell>
          <cell r="I649">
            <v>0</v>
          </cell>
        </row>
        <row r="650">
          <cell r="D650" t="str">
            <v>BALKANS-CASH OPEX, NOMINAL, M$</v>
          </cell>
          <cell r="E650">
            <v>4.9381249843750004</v>
          </cell>
          <cell r="F650">
            <v>0</v>
          </cell>
          <cell r="G650">
            <v>0</v>
          </cell>
          <cell r="H650">
            <v>0.3274929921875</v>
          </cell>
          <cell r="I650">
            <v>0</v>
          </cell>
        </row>
        <row r="651">
          <cell r="D651" t="str">
            <v>BALKANS-CASH OPEX, US$ DENOM, M$</v>
          </cell>
          <cell r="E651">
            <v>2.3253789999999999</v>
          </cell>
          <cell r="F651">
            <v>0</v>
          </cell>
          <cell r="G651">
            <v>0</v>
          </cell>
          <cell r="H651">
            <v>0.58134399999999997</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2.4458140804687543</v>
          </cell>
          <cell r="F654">
            <v>4.2431357499999995</v>
          </cell>
          <cell r="G654">
            <v>-0.76765987499999999</v>
          </cell>
          <cell r="H654">
            <v>1.3287340703125001</v>
          </cell>
          <cell r="I654">
            <v>6.1</v>
          </cell>
        </row>
        <row r="655">
          <cell r="D655" t="str">
            <v>BENELUX-OPERATING EARNINGS, M$</v>
          </cell>
          <cell r="E655">
            <v>2.6358140804687542</v>
          </cell>
          <cell r="F655">
            <v>4.3901357499999998</v>
          </cell>
          <cell r="G655">
            <v>-0.76865987499999999</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-0.14699999999999999</v>
          </cell>
          <cell r="G657">
            <v>1E-3</v>
          </cell>
          <cell r="H657">
            <v>-1.9E-2</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11.744491999999999</v>
          </cell>
          <cell r="F660">
            <v>2.6180064999999999</v>
          </cell>
          <cell r="G660">
            <v>0</v>
          </cell>
          <cell r="H660">
            <v>2.5027474999999999</v>
          </cell>
          <cell r="I660">
            <v>3.6862615000000001</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3.3785000000000003E-2</v>
          </cell>
          <cell r="I663">
            <v>0</v>
          </cell>
        </row>
        <row r="664">
          <cell r="D664" t="str">
            <v>BENELUX-MEMO: EAFE CHANGE, CAP EMP, M$</v>
          </cell>
          <cell r="E664">
            <v>1.1000000000000001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4.3704349999999996</v>
          </cell>
          <cell r="F668">
            <v>4.3433200000000003</v>
          </cell>
          <cell r="G668">
            <v>0</v>
          </cell>
          <cell r="H668">
            <v>0.44398749999999998</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26.232206937500003</v>
          </cell>
          <cell r="F671">
            <v>10.898417272460939</v>
          </cell>
          <cell r="G671">
            <v>1.671216818359375</v>
          </cell>
          <cell r="H671">
            <v>3.6688365488281249</v>
          </cell>
          <cell r="I671">
            <v>2.3566262851562501</v>
          </cell>
        </row>
        <row r="672">
          <cell r="D672" t="str">
            <v>BENELUX-TOTAL OPEX, US$ DENOM, M$</v>
          </cell>
          <cell r="E672">
            <v>4.5763340000000001</v>
          </cell>
          <cell r="F672">
            <v>2.6675059999999999</v>
          </cell>
          <cell r="G672">
            <v>0.10374700000000001</v>
          </cell>
          <cell r="H672">
            <v>0.56067199999999995</v>
          </cell>
          <cell r="I672">
            <v>0.31551499999999999</v>
          </cell>
        </row>
        <row r="673">
          <cell r="D673" t="str">
            <v>BENELUX-CASH OPEX, FX-ADJ, M$</v>
          </cell>
          <cell r="E673">
            <v>23.909317495468194</v>
          </cell>
          <cell r="F673">
            <v>9.715397528583134</v>
          </cell>
          <cell r="G673">
            <v>1.578479502593451</v>
          </cell>
          <cell r="H673">
            <v>3.4531598762328666</v>
          </cell>
          <cell r="I673">
            <v>2.2358665872355288</v>
          </cell>
        </row>
        <row r="674">
          <cell r="D674" t="str">
            <v>BENELUX-CASH OPEX, NOMINAL, M$</v>
          </cell>
          <cell r="E674">
            <v>25.125055937500001</v>
          </cell>
          <cell r="F674">
            <v>10.158598272460939</v>
          </cell>
          <cell r="G674">
            <v>1.671216818359375</v>
          </cell>
          <cell r="H674">
            <v>3.635051548828125</v>
          </cell>
          <cell r="I674">
            <v>2.3566262851562501</v>
          </cell>
        </row>
        <row r="675">
          <cell r="D675" t="str">
            <v>BENELUX-CASH OPEX, US$ DENOM, M$</v>
          </cell>
          <cell r="E675">
            <v>4.5763340000000001</v>
          </cell>
          <cell r="F675">
            <v>2.6675059999999999</v>
          </cell>
          <cell r="G675">
            <v>0.10374700000000001</v>
          </cell>
          <cell r="H675">
            <v>0.56067199999999995</v>
          </cell>
          <cell r="I675">
            <v>0.31551499999999999</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0.26396866210937497</v>
          </cell>
          <cell r="F678">
            <v>9.7059999999999994E-3</v>
          </cell>
          <cell r="G678">
            <v>0</v>
          </cell>
          <cell r="H678">
            <v>9.3700000000000001E-4</v>
          </cell>
          <cell r="I678">
            <v>0</v>
          </cell>
        </row>
        <row r="679">
          <cell r="D679" t="str">
            <v>CTRL ASIA / CAUCASUS-OPERATING EARNINGS, M$</v>
          </cell>
          <cell r="E679">
            <v>0.26396866210937497</v>
          </cell>
          <cell r="F679">
            <v>9.7059999999999994E-3</v>
          </cell>
          <cell r="G679">
            <v>0</v>
          </cell>
          <cell r="H679">
            <v>9.3700000000000001E-4</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1.6130949182128906</v>
          </cell>
          <cell r="F695">
            <v>0</v>
          </cell>
          <cell r="G695">
            <v>0</v>
          </cell>
          <cell r="H695">
            <v>9.999999776482582E-9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1.6130949182128906</v>
          </cell>
          <cell r="F697">
            <v>0</v>
          </cell>
          <cell r="G697">
            <v>0</v>
          </cell>
          <cell r="H697">
            <v>9.999999776482582E-9</v>
          </cell>
          <cell r="I697">
            <v>0</v>
          </cell>
        </row>
        <row r="698">
          <cell r="D698" t="str">
            <v>CTRL ASIA / CAUCASUS-CASH OPEX, NOMINAL, M$</v>
          </cell>
          <cell r="E698">
            <v>1.6130949182128906</v>
          </cell>
          <cell r="F698">
            <v>0</v>
          </cell>
          <cell r="G698">
            <v>0</v>
          </cell>
          <cell r="H698">
            <v>9.999999776482582E-9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1.2613283828125001</v>
          </cell>
          <cell r="F702">
            <v>0</v>
          </cell>
          <cell r="G702">
            <v>-1.1224099609375E-2</v>
          </cell>
          <cell r="H702">
            <v>6.8226869140624993E-2</v>
          </cell>
          <cell r="I702">
            <v>0</v>
          </cell>
        </row>
        <row r="703">
          <cell r="D703" t="str">
            <v>CZECHIA-OPERATING EARNINGS, M$</v>
          </cell>
          <cell r="E703">
            <v>1.2613283828125001</v>
          </cell>
          <cell r="F703">
            <v>0</v>
          </cell>
          <cell r="G703">
            <v>-1.1224099609375E-2</v>
          </cell>
          <cell r="H703">
            <v>6.8226869140624993E-2</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6.7020020000000002</v>
          </cell>
          <cell r="F708">
            <v>0</v>
          </cell>
          <cell r="G708">
            <v>0</v>
          </cell>
          <cell r="H708">
            <v>0.17499999999999999</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0.33500000000000002</v>
          </cell>
          <cell r="F711">
            <v>0</v>
          </cell>
          <cell r="G711">
            <v>0</v>
          </cell>
          <cell r="H711">
            <v>0</v>
          </cell>
          <cell r="I711">
            <v>0</v>
          </cell>
        </row>
        <row r="712">
          <cell r="D712" t="str">
            <v>CZECHIA-MEMO: EAFE CHANGE, CAP EMP, M$</v>
          </cell>
          <cell r="E712">
            <v>1.1000000000000001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1.3780000000000001</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4.8534545625000005</v>
          </cell>
          <cell r="F719">
            <v>0</v>
          </cell>
          <cell r="G719">
            <v>1.62667099609375E-2</v>
          </cell>
          <cell r="H719">
            <v>0.34446965234374999</v>
          </cell>
          <cell r="I719">
            <v>0</v>
          </cell>
        </row>
        <row r="720">
          <cell r="D720" t="str">
            <v>CZECHIA-TOTAL OPEX, US$ DENOM, M$</v>
          </cell>
          <cell r="E720">
            <v>1.034</v>
          </cell>
          <cell r="F720">
            <v>0</v>
          </cell>
          <cell r="G720">
            <v>0</v>
          </cell>
          <cell r="H720">
            <v>6.9000000000000006E-2</v>
          </cell>
          <cell r="I720">
            <v>0</v>
          </cell>
        </row>
        <row r="721">
          <cell r="D721" t="str">
            <v>CZECHIA-CASH OPEX, FX-ADJ, M$</v>
          </cell>
          <cell r="E721">
            <v>4.3342171954752136</v>
          </cell>
          <cell r="F721">
            <v>0</v>
          </cell>
          <cell r="G721">
            <v>1.5603444286378885E-2</v>
          </cell>
          <cell r="H721">
            <v>0.33042410183750731</v>
          </cell>
          <cell r="I721">
            <v>0</v>
          </cell>
        </row>
        <row r="722">
          <cell r="D722" t="str">
            <v>CZECHIA-CASH OPEX, NOMINAL, M$</v>
          </cell>
          <cell r="E722">
            <v>4.5184545625000005</v>
          </cell>
          <cell r="F722">
            <v>0</v>
          </cell>
          <cell r="G722">
            <v>1.62667099609375E-2</v>
          </cell>
          <cell r="H722">
            <v>0.34446965234374999</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1.7634504531250002</v>
          </cell>
          <cell r="F726">
            <v>0.56661584374999996</v>
          </cell>
          <cell r="G726">
            <v>0</v>
          </cell>
          <cell r="H726">
            <v>-7.2022041870117195E-2</v>
          </cell>
          <cell r="I726">
            <v>0</v>
          </cell>
        </row>
        <row r="727">
          <cell r="D727" t="str">
            <v>DENMARK-OPERATING EARNINGS, M$</v>
          </cell>
          <cell r="E727">
            <v>1.7634504531250002</v>
          </cell>
          <cell r="F727">
            <v>0.56661584374999996</v>
          </cell>
          <cell r="G727">
            <v>0</v>
          </cell>
          <cell r="H727">
            <v>-7.2022041870117195E-2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-0.47947800000000002</v>
          </cell>
          <cell r="F735">
            <v>0</v>
          </cell>
          <cell r="G735">
            <v>0</v>
          </cell>
          <cell r="H735">
            <v>-0.10194599999999999</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2.2999999999999998</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9.103450689697265E-2</v>
          </cell>
          <cell r="I743">
            <v>0</v>
          </cell>
        </row>
        <row r="744">
          <cell r="D744" t="str">
            <v>DENMARK-TOTAL OPEX, US$ DENOM, M$</v>
          </cell>
          <cell r="E744">
            <v>6.7546237806922793</v>
          </cell>
          <cell r="F744">
            <v>2.6907427281755223</v>
          </cell>
          <cell r="G744">
            <v>0</v>
          </cell>
          <cell r="H744">
            <v>9.1034489999999996E-2</v>
          </cell>
          <cell r="I744">
            <v>0</v>
          </cell>
        </row>
        <row r="745">
          <cell r="D745" t="str">
            <v>DENMARK-CASH OPEX, FX-ADJ, M$</v>
          </cell>
          <cell r="E745">
            <v>6.7712196729433591</v>
          </cell>
          <cell r="F745">
            <v>2.5441054283931241</v>
          </cell>
          <cell r="G745">
            <v>0</v>
          </cell>
          <cell r="H745">
            <v>0.18221186646900123</v>
          </cell>
          <cell r="I745">
            <v>0</v>
          </cell>
        </row>
        <row r="746">
          <cell r="D746" t="str">
            <v>DENMARK-CASH OPEX, NOMINAL, M$</v>
          </cell>
          <cell r="E746">
            <v>7.1713957500000003</v>
          </cell>
          <cell r="F746">
            <v>2.69446092993164</v>
          </cell>
          <cell r="G746">
            <v>0</v>
          </cell>
          <cell r="H746">
            <v>0.19298050689697266</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5.3295453750000004</v>
          </cell>
          <cell r="F750">
            <v>-8.0571589355468751E-2</v>
          </cell>
          <cell r="G750">
            <v>4.75770390625E-2</v>
          </cell>
          <cell r="H750">
            <v>0.41336786718750002</v>
          </cell>
          <cell r="I750">
            <v>0.22814148437500001</v>
          </cell>
        </row>
        <row r="751">
          <cell r="D751" t="str">
            <v>FINLAND-OPERATING EARNINGS, M$</v>
          </cell>
          <cell r="E751">
            <v>5.3295453750000004</v>
          </cell>
          <cell r="F751">
            <v>-8.0571589355468751E-2</v>
          </cell>
          <cell r="G751">
            <v>4.75770390625E-2</v>
          </cell>
          <cell r="H751">
            <v>0.41336786718750002</v>
          </cell>
          <cell r="I751">
            <v>0.22814148437500001</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21.881398537952997</v>
          </cell>
          <cell r="F756">
            <v>2.2409785923498773</v>
          </cell>
          <cell r="G756">
            <v>0.62177369522479309</v>
          </cell>
          <cell r="H756">
            <v>3.9238272428068415</v>
          </cell>
          <cell r="I756">
            <v>0.21095300000000003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14.84989726767105</v>
          </cell>
          <cell r="F764">
            <v>1.8354156930033598</v>
          </cell>
          <cell r="G764">
            <v>0.43466234489679789</v>
          </cell>
          <cell r="H764">
            <v>2.7529436944287919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0.95719082269287104</v>
          </cell>
          <cell r="G767">
            <v>0.12559622265625001</v>
          </cell>
          <cell r="H767">
            <v>0.87447186035156244</v>
          </cell>
          <cell r="I767">
            <v>0.49948933203125001</v>
          </cell>
        </row>
        <row r="768">
          <cell r="D768" t="str">
            <v>FINLAND-TOTAL OPEX, US$ DENOM, M$</v>
          </cell>
          <cell r="E768">
            <v>0</v>
          </cell>
          <cell r="F768">
            <v>0</v>
          </cell>
          <cell r="G768">
            <v>0</v>
          </cell>
          <cell r="H768">
            <v>0</v>
          </cell>
          <cell r="I768">
            <v>0</v>
          </cell>
        </row>
        <row r="769">
          <cell r="D769" t="str">
            <v>FINLAND-CASH OPEX, FX-ADJ, M$</v>
          </cell>
          <cell r="E769">
            <v>18.817492819033586</v>
          </cell>
          <cell r="F769">
            <v>0.80647624110116645</v>
          </cell>
          <cell r="G769">
            <v>0.11816548528379393</v>
          </cell>
          <cell r="H769">
            <v>0.82273486861368084</v>
          </cell>
          <cell r="I769">
            <v>0.46993769450449008</v>
          </cell>
        </row>
        <row r="770">
          <cell r="D770" t="str">
            <v>FINLAND-CASH OPEX, NOMINAL, M$</v>
          </cell>
          <cell r="E770">
            <v>20.000815062499999</v>
          </cell>
          <cell r="F770">
            <v>0.85719082269287106</v>
          </cell>
          <cell r="G770">
            <v>0.12559622265625001</v>
          </cell>
          <cell r="H770">
            <v>0.87447186035156244</v>
          </cell>
          <cell r="I770">
            <v>0.49948933203125001</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-15.751139468750001</v>
          </cell>
          <cell r="F774">
            <v>0.83208935937500006</v>
          </cell>
          <cell r="G774">
            <v>1.423149</v>
          </cell>
          <cell r="H774">
            <v>-4.4148443808593747</v>
          </cell>
          <cell r="I774">
            <v>37.617865999999999</v>
          </cell>
        </row>
        <row r="775">
          <cell r="D775" t="str">
            <v>FRANCE-OPERATING EARNINGS, M$</v>
          </cell>
          <cell r="E775">
            <v>-15.751139468750001</v>
          </cell>
          <cell r="F775">
            <v>0.83208935937500006</v>
          </cell>
          <cell r="G775">
            <v>1.423149</v>
          </cell>
          <cell r="H775">
            <v>-4.4148443808593747</v>
          </cell>
          <cell r="I775">
            <v>4.3178659999999995</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33.299999999999997</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19.945491999999998</v>
          </cell>
          <cell r="F780">
            <v>-4.2809999999999997</v>
          </cell>
          <cell r="G780">
            <v>5.588000000000001</v>
          </cell>
          <cell r="H780">
            <v>15.045999999999999</v>
          </cell>
          <cell r="I780">
            <v>36.877499999999998</v>
          </cell>
        </row>
        <row r="781">
          <cell r="D781" t="str">
            <v>FRANCE-CAPITAL EMPLOYED - YE, M$</v>
          </cell>
          <cell r="E781">
            <v>6.1999999999999886</v>
          </cell>
          <cell r="F781">
            <v>-6.9</v>
          </cell>
          <cell r="G781">
            <v>-1.2</v>
          </cell>
          <cell r="H781">
            <v>14.2</v>
          </cell>
          <cell r="I781">
            <v>32.299999999999997</v>
          </cell>
        </row>
        <row r="782">
          <cell r="D782" t="str">
            <v>FRANCE-CASH &amp; MARKETABLE SEC, M$</v>
          </cell>
          <cell r="E782">
            <v>0.2</v>
          </cell>
          <cell r="F782">
            <v>0</v>
          </cell>
          <cell r="G782">
            <v>0</v>
          </cell>
          <cell r="H782">
            <v>0</v>
          </cell>
          <cell r="I782">
            <v>0</v>
          </cell>
        </row>
        <row r="783">
          <cell r="D783" t="str">
            <v>FRANCE-DEPRECIATION, M$</v>
          </cell>
          <cell r="E783">
            <v>7.1357810000000006</v>
          </cell>
          <cell r="F783">
            <v>0.261073</v>
          </cell>
          <cell r="G783">
            <v>5.7113011199999994E-2</v>
          </cell>
          <cell r="H783">
            <v>0.26231098879999998</v>
          </cell>
          <cell r="I783">
            <v>1.790832</v>
          </cell>
        </row>
        <row r="784">
          <cell r="D784" t="str">
            <v>FRANCE-MEMO: EAFE CHANGE, CAP EMP, M$</v>
          </cell>
          <cell r="E784">
            <v>7.1</v>
          </cell>
          <cell r="F784">
            <v>1.6</v>
          </cell>
          <cell r="G784">
            <v>-0.64200000000000002</v>
          </cell>
          <cell r="H784">
            <v>0.24199999999999999</v>
          </cell>
          <cell r="I784">
            <v>4.5999999999999996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17.100000000000001</v>
          </cell>
        </row>
        <row r="788">
          <cell r="D788" t="str">
            <v>FRANCE-PROP, PLANT, &amp; EQUIP - NET AVG, M$</v>
          </cell>
          <cell r="E788">
            <v>86.956755000000001</v>
          </cell>
          <cell r="F788">
            <v>2.5920000000000001</v>
          </cell>
          <cell r="G788">
            <v>4.4135</v>
          </cell>
          <cell r="H788">
            <v>16.215499999999999</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125.09081162499999</v>
          </cell>
          <cell r="F791">
            <v>6.7809076562499992</v>
          </cell>
          <cell r="G791">
            <v>6.2291568749999993</v>
          </cell>
          <cell r="H791">
            <v>21.25196846875</v>
          </cell>
          <cell r="I791">
            <v>25.655967999999998</v>
          </cell>
        </row>
        <row r="792">
          <cell r="D792" t="str">
            <v>FRANCE-TOTAL OPEX, US$ DENOM, M$</v>
          </cell>
          <cell r="E792">
            <v>4.87</v>
          </cell>
          <cell r="F792">
            <v>1.0900000000000001</v>
          </cell>
          <cell r="G792">
            <v>0.7</v>
          </cell>
          <cell r="H792">
            <v>2.29</v>
          </cell>
          <cell r="I792">
            <v>1.06</v>
          </cell>
        </row>
        <row r="793">
          <cell r="D793" t="str">
            <v>FRANCE-CASH OPEX, FX-ADJ, M$</v>
          </cell>
          <cell r="E793">
            <v>106.46447062611216</v>
          </cell>
          <cell r="F793">
            <v>5.8504577368072956</v>
          </cell>
          <cell r="G793">
            <v>5.8384318374308828</v>
          </cell>
          <cell r="H793">
            <v>18.70438799521844</v>
          </cell>
          <cell r="I793">
            <v>21.581554281583632</v>
          </cell>
        </row>
        <row r="794">
          <cell r="D794" t="str">
            <v>FRANCE-CASH OPEX, NOMINAL, M$</v>
          </cell>
          <cell r="E794">
            <v>112.85315364893623</v>
          </cell>
          <cell r="F794">
            <v>6.1498151264032153</v>
          </cell>
          <cell r="G794">
            <v>6.1615578111322105</v>
          </cell>
          <cell r="H794">
            <v>19.736593008629342</v>
          </cell>
          <cell r="I794">
            <v>22.872035</v>
          </cell>
        </row>
        <row r="795">
          <cell r="D795" t="str">
            <v>FRANCE-CASH OPEX, US$ DENOM, M$</v>
          </cell>
          <cell r="E795">
            <v>4.87</v>
          </cell>
          <cell r="F795">
            <v>1.0900000000000001</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3.2062137500000003</v>
          </cell>
          <cell r="F798">
            <v>0.61684615625000006</v>
          </cell>
          <cell r="G798">
            <v>-0.39536390625000001</v>
          </cell>
          <cell r="H798">
            <v>-0.55842449999999999</v>
          </cell>
          <cell r="I798">
            <v>2.44</v>
          </cell>
        </row>
        <row r="799">
          <cell r="D799" t="str">
            <v>GERMANY-OPERATING EARNINGS, M$</v>
          </cell>
          <cell r="E799">
            <v>3.2062137500000003</v>
          </cell>
          <cell r="F799">
            <v>0.61684615625000006</v>
          </cell>
          <cell r="G799">
            <v>-0.39536390625000001</v>
          </cell>
          <cell r="H799">
            <v>-0.55842449999999999</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-8.1999999999999993</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1.1499999999999999</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105.58100000000002</v>
          </cell>
          <cell r="F815">
            <v>6.4139999999999997</v>
          </cell>
          <cell r="G815">
            <v>1.0474814374999999</v>
          </cell>
          <cell r="H815">
            <v>4.7874274609374998</v>
          </cell>
          <cell r="I815">
            <v>3.9779999999999998</v>
          </cell>
        </row>
        <row r="816">
          <cell r="D816" t="str">
            <v>GERMANY-TOTAL OPEX, US$ DENOM, M$</v>
          </cell>
          <cell r="E816">
            <v>18.079999999999998</v>
          </cell>
          <cell r="F816">
            <v>3.4</v>
          </cell>
          <cell r="G816">
            <v>0.1</v>
          </cell>
          <cell r="H816">
            <v>0.5</v>
          </cell>
          <cell r="I816">
            <v>0.63</v>
          </cell>
        </row>
        <row r="817">
          <cell r="D817" t="str">
            <v>GERMANY-CASH OPEX, FX-ADJ, M$</v>
          </cell>
          <cell r="E817">
            <v>94.947266459074754</v>
          </cell>
          <cell r="F817">
            <v>5.8593460854092534</v>
          </cell>
          <cell r="G817">
            <v>0.95379147700733979</v>
          </cell>
          <cell r="H817">
            <v>4.2515164946097919</v>
          </cell>
          <cell r="I817">
            <v>3.4018104982206405</v>
          </cell>
        </row>
        <row r="818">
          <cell r="D818" t="str">
            <v>GERMANY-CASH OPEX, NOMINAL, M$</v>
          </cell>
          <cell r="E818">
            <v>99.78100000000002</v>
          </cell>
          <cell r="F818">
            <v>6.0140000000000002</v>
          </cell>
          <cell r="G818">
            <v>1.0074814374999999</v>
          </cell>
          <cell r="H818">
            <v>4.4874274609375</v>
          </cell>
          <cell r="I818">
            <v>3.5779999999999998</v>
          </cell>
        </row>
        <row r="819">
          <cell r="D819" t="str">
            <v>GERMANY-CASH OPEX, US$ DENOM, M$</v>
          </cell>
          <cell r="E819">
            <v>18.079999999999998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-0.20788899999999999</v>
          </cell>
          <cell r="F822">
            <v>1.6021970000000001</v>
          </cell>
          <cell r="G822">
            <v>0</v>
          </cell>
          <cell r="H822">
            <v>0</v>
          </cell>
          <cell r="I822">
            <v>0</v>
          </cell>
        </row>
        <row r="823">
          <cell r="D823" t="str">
            <v>GREECE-OPERATING EARNINGS, M$</v>
          </cell>
          <cell r="E823">
            <v>-0.20788899999999999</v>
          </cell>
          <cell r="F823">
            <v>1.6021970000000001</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-1.4090034999999999</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0.20788899999999999</v>
          </cell>
          <cell r="F839">
            <v>2.8977340000000003</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0.19558951734875443</v>
          </cell>
          <cell r="F841">
            <v>2.7262933318505342</v>
          </cell>
          <cell r="G841">
            <v>0</v>
          </cell>
          <cell r="H841">
            <v>0</v>
          </cell>
          <cell r="I841">
            <v>0</v>
          </cell>
        </row>
        <row r="842">
          <cell r="D842" t="str">
            <v>GREECE-CASH OPEX, NOMINAL, M$</v>
          </cell>
          <cell r="E842">
            <v>0.20788899999999999</v>
          </cell>
          <cell r="F842">
            <v>2.8977340000000003</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0.84546900390625002</v>
          </cell>
          <cell r="F846">
            <v>1.60743994140625E-3</v>
          </cell>
          <cell r="G846">
            <v>0</v>
          </cell>
          <cell r="H846">
            <v>0.17192461718749999</v>
          </cell>
          <cell r="I846">
            <v>0</v>
          </cell>
        </row>
        <row r="847">
          <cell r="D847" t="str">
            <v>HUNGARY-OPERATING EARNINGS, M$</v>
          </cell>
          <cell r="E847">
            <v>0.84546900390625002</v>
          </cell>
          <cell r="F847">
            <v>1.60743994140625E-3</v>
          </cell>
          <cell r="G847">
            <v>0</v>
          </cell>
          <cell r="H847">
            <v>0.17192461718749999</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1.3126450000000001</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8.0500000000000007</v>
          </cell>
          <cell r="F859">
            <v>0</v>
          </cell>
          <cell r="G859">
            <v>0</v>
          </cell>
          <cell r="H859">
            <v>0.8</v>
          </cell>
          <cell r="I859">
            <v>0</v>
          </cell>
        </row>
        <row r="860">
          <cell r="D860" t="str">
            <v>HUNGARY-PROP, PLANT, &amp; EQUIP - NET AVG, M$</v>
          </cell>
          <cell r="E860">
            <v>2.5773734999999998</v>
          </cell>
          <cell r="F860">
            <v>0</v>
          </cell>
          <cell r="G860">
            <v>0</v>
          </cell>
          <cell r="H860">
            <v>0.15</v>
          </cell>
          <cell r="I860">
            <v>0</v>
          </cell>
        </row>
        <row r="861">
          <cell r="D861" t="str">
            <v>HUNGARY-PROP, PLANT, &amp; EQUIP - NET YE, M$</v>
          </cell>
          <cell r="E861">
            <v>2.2999999999999998</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7.344999953124999</v>
          </cell>
          <cell r="F863">
            <v>-9.999999776482582E-9</v>
          </cell>
          <cell r="G863">
            <v>0</v>
          </cell>
          <cell r="H863">
            <v>0.41100005273437501</v>
          </cell>
          <cell r="I863">
            <v>0</v>
          </cell>
        </row>
        <row r="864">
          <cell r="D864" t="str">
            <v>HUNGARY-TOTAL OPEX, US$ DENOM, M$</v>
          </cell>
          <cell r="E864">
            <v>1.989716</v>
          </cell>
          <cell r="F864">
            <v>0</v>
          </cell>
          <cell r="G864">
            <v>0</v>
          </cell>
          <cell r="H864">
            <v>0.49742900000000001</v>
          </cell>
          <cell r="I864">
            <v>0</v>
          </cell>
        </row>
        <row r="865">
          <cell r="D865" t="str">
            <v>HUNGARY-CASH OPEX, FX-ADJ, M$</v>
          </cell>
          <cell r="E865">
            <v>5.7096853592749017</v>
          </cell>
          <cell r="F865">
            <v>-9.3979343578680185E-9</v>
          </cell>
          <cell r="G865">
            <v>0</v>
          </cell>
          <cell r="H865">
            <v>0.25643875322749388</v>
          </cell>
          <cell r="I865">
            <v>0</v>
          </cell>
        </row>
        <row r="866">
          <cell r="D866" t="str">
            <v>HUNGARY-CASH OPEX, NOMINAL, M$</v>
          </cell>
          <cell r="E866">
            <v>5.9479999531249987</v>
          </cell>
          <cell r="F866">
            <v>-9.999999776482582E-9</v>
          </cell>
          <cell r="G866">
            <v>0</v>
          </cell>
          <cell r="H866">
            <v>0.241000052734375</v>
          </cell>
          <cell r="I866">
            <v>0</v>
          </cell>
        </row>
        <row r="867">
          <cell r="D867" t="str">
            <v>HUNGARY-CASH OPEX, US$ DENOM, M$</v>
          </cell>
          <cell r="E867">
            <v>1.989716</v>
          </cell>
          <cell r="F867">
            <v>0</v>
          </cell>
          <cell r="G867">
            <v>0</v>
          </cell>
          <cell r="H867">
            <v>0.49742900000000001</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1.4128242812499998</v>
          </cell>
          <cell r="F870">
            <v>-0.26368806249999999</v>
          </cell>
          <cell r="G870">
            <v>0.18331890625</v>
          </cell>
          <cell r="H870">
            <v>-0.34589214843750005</v>
          </cell>
          <cell r="I870">
            <v>5.8536655</v>
          </cell>
        </row>
        <row r="871">
          <cell r="D871" t="str">
            <v>ITALY-OPERATING EARNINGS, M$</v>
          </cell>
          <cell r="E871">
            <v>0.91282428124999981</v>
          </cell>
          <cell r="F871">
            <v>-0.26368806249999999</v>
          </cell>
          <cell r="G871">
            <v>0.18331890625</v>
          </cell>
          <cell r="H871">
            <v>-0.34589214843750005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36.180029091785229</v>
          </cell>
          <cell r="F876">
            <v>7.5769343055348992</v>
          </cell>
          <cell r="G876">
            <v>1.2130467656175588</v>
          </cell>
          <cell r="H876">
            <v>20.722193872324961</v>
          </cell>
          <cell r="I876">
            <v>14.374487538550174</v>
          </cell>
        </row>
        <row r="877">
          <cell r="D877" t="str">
            <v>ITALY-CAPITAL EMPLOYED - YE, M$</v>
          </cell>
          <cell r="E877">
            <v>33.299999999999997</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1.7907066297959799</v>
          </cell>
          <cell r="F879">
            <v>0.24412656595718618</v>
          </cell>
          <cell r="G879">
            <v>0</v>
          </cell>
          <cell r="H879">
            <v>0.32571539424683327</v>
          </cell>
          <cell r="I879">
            <v>6.0553000000000003E-2</v>
          </cell>
        </row>
        <row r="880">
          <cell r="D880" t="str">
            <v>ITALY-MEMO: EAFE CHANGE, CAP EMP, M$</v>
          </cell>
          <cell r="E880">
            <v>7.1</v>
          </cell>
          <cell r="F880">
            <v>1.6</v>
          </cell>
          <cell r="G880">
            <v>0</v>
          </cell>
          <cell r="H880">
            <v>4.9000000000000004</v>
          </cell>
          <cell r="I880">
            <v>3.1</v>
          </cell>
        </row>
        <row r="881">
          <cell r="D881" t="str">
            <v>ITALY-OPERATING WORKING CAPITAL, M$</v>
          </cell>
          <cell r="E881">
            <v>23.8</v>
          </cell>
          <cell r="F881">
            <v>6.1</v>
          </cell>
          <cell r="G881">
            <v>0</v>
          </cell>
          <cell r="H881">
            <v>26.1</v>
          </cell>
          <cell r="I881">
            <v>20.100000000000001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20.094810000000003</v>
          </cell>
          <cell r="F884">
            <v>1.88670325142715</v>
          </cell>
          <cell r="G884">
            <v>0.55895121470533393</v>
          </cell>
          <cell r="H884">
            <v>2.7271432972982748</v>
          </cell>
          <cell r="I884">
            <v>1.8311144551650882</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52.687618999999998</v>
          </cell>
          <cell r="F887">
            <v>5.6448742885742185</v>
          </cell>
          <cell r="G887">
            <v>3.4423047499999999</v>
          </cell>
          <cell r="H887">
            <v>3.835189650695801</v>
          </cell>
          <cell r="I887">
            <v>8.6159855000000007</v>
          </cell>
        </row>
        <row r="888">
          <cell r="D888" t="str">
            <v>ITALY-TOTAL OPEX, US$ DENOM, M$</v>
          </cell>
          <cell r="E888">
            <v>11.5</v>
          </cell>
          <cell r="F888">
            <v>3.7</v>
          </cell>
          <cell r="G888">
            <v>0</v>
          </cell>
          <cell r="H888">
            <v>0.7</v>
          </cell>
          <cell r="I888">
            <v>1.8</v>
          </cell>
        </row>
        <row r="889">
          <cell r="D889" t="str">
            <v>ITALY-CASH OPEX, FX-ADJ, M$</v>
          </cell>
          <cell r="E889">
            <v>47.805989069720404</v>
          </cell>
          <cell r="F889">
            <v>5.1843053279545828</v>
          </cell>
          <cell r="G889">
            <v>3.2386452607873664</v>
          </cell>
          <cell r="H889">
            <v>3.2420308891116747</v>
          </cell>
          <cell r="I889">
            <v>8.0979366732694338</v>
          </cell>
        </row>
        <row r="890">
          <cell r="D890" t="str">
            <v>ITALY-CASH OPEX, NOMINAL, M$</v>
          </cell>
          <cell r="E890">
            <v>50.089060722804476</v>
          </cell>
          <cell r="F890">
            <v>5.2776446228094098</v>
          </cell>
          <cell r="G890">
            <v>3.4423047499999999</v>
          </cell>
          <cell r="H890">
            <v>3.4018843681905646</v>
          </cell>
          <cell r="I890">
            <v>8.4939771354655722</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1.8094849999999998</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1.6079399999999999</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1.329097941227289E-3</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0.39389281250000019</v>
          </cell>
          <cell r="F918">
            <v>2.26412215625</v>
          </cell>
          <cell r="G918">
            <v>0</v>
          </cell>
          <cell r="H918">
            <v>-1.6277588828124998</v>
          </cell>
          <cell r="I918">
            <v>0.52554237500000001</v>
          </cell>
        </row>
        <row r="919">
          <cell r="D919" t="str">
            <v>NORWAY-OPERATING EARNINGS, M$</v>
          </cell>
          <cell r="E919">
            <v>0.39389281250000019</v>
          </cell>
          <cell r="F919">
            <v>2.26412215625</v>
          </cell>
          <cell r="G919">
            <v>0</v>
          </cell>
          <cell r="H919">
            <v>-1.6277588828124998</v>
          </cell>
          <cell r="I919">
            <v>0.52554237500000001</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9.3195879999999995</v>
          </cell>
          <cell r="F924">
            <v>4.29</v>
          </cell>
          <cell r="G924">
            <v>0</v>
          </cell>
          <cell r="H924">
            <v>3.3050000000000002</v>
          </cell>
          <cell r="I924">
            <v>5.84</v>
          </cell>
        </row>
        <row r="925">
          <cell r="D925" t="str">
            <v>NORWAY-CAPITAL EMPLOYED - YE, M$</v>
          </cell>
          <cell r="E925">
            <v>4.4000000000000004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1.3492850000000001</v>
          </cell>
          <cell r="F932">
            <v>0.505</v>
          </cell>
          <cell r="G932">
            <v>0</v>
          </cell>
          <cell r="H932">
            <v>0.96499999999999997</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13.798311632812499</v>
          </cell>
          <cell r="F935">
            <v>4.6021788057861324</v>
          </cell>
          <cell r="G935">
            <v>0</v>
          </cell>
          <cell r="H935">
            <v>2.18310593057251</v>
          </cell>
          <cell r="I935">
            <v>0.95439643750000003</v>
          </cell>
        </row>
        <row r="936">
          <cell r="D936" t="str">
            <v>NORWAY-TOTAL OPEX, US$ DENOM, M$</v>
          </cell>
          <cell r="E936">
            <v>0</v>
          </cell>
          <cell r="F936">
            <v>0</v>
          </cell>
          <cell r="G936">
            <v>0</v>
          </cell>
          <cell r="H936">
            <v>0</v>
          </cell>
          <cell r="I936">
            <v>0</v>
          </cell>
        </row>
        <row r="937">
          <cell r="D937" t="str">
            <v>NORWAY-CASH OPEX, FX-ADJ, M$</v>
          </cell>
          <cell r="E937">
            <v>12.231963331954894</v>
          </cell>
          <cell r="F937">
            <v>4.2421947482106326</v>
          </cell>
          <cell r="G937">
            <v>0</v>
          </cell>
          <cell r="H937">
            <v>1.94085175151403</v>
          </cell>
          <cell r="I937">
            <v>0.86538346358801721</v>
          </cell>
        </row>
        <row r="938">
          <cell r="D938" t="str">
            <v>NORWAY-CASH OPEX, NOMINAL, M$</v>
          </cell>
          <cell r="E938">
            <v>13.083132966145833</v>
          </cell>
          <cell r="F938">
            <v>4.5373908057861323</v>
          </cell>
          <cell r="G938">
            <v>0</v>
          </cell>
          <cell r="H938">
            <v>2.0759072639058433</v>
          </cell>
          <cell r="I938">
            <v>0.92560177083333328</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18.337505531250002</v>
          </cell>
          <cell r="F942">
            <v>0</v>
          </cell>
          <cell r="G942">
            <v>1.20861103515625E-2</v>
          </cell>
          <cell r="H942">
            <v>1.34176574609375</v>
          </cell>
          <cell r="I942">
            <v>0</v>
          </cell>
        </row>
        <row r="943">
          <cell r="D943" t="str">
            <v>POLAND-OPERATING EARNINGS, M$</v>
          </cell>
          <cell r="E943">
            <v>11.237505531250001</v>
          </cell>
          <cell r="F943">
            <v>0</v>
          </cell>
          <cell r="G943">
            <v>1.20861103515625E-2</v>
          </cell>
          <cell r="H943">
            <v>1.0417657460937499</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50.489823000000001</v>
          </cell>
          <cell r="F948">
            <v>0</v>
          </cell>
          <cell r="G948">
            <v>0</v>
          </cell>
          <cell r="H948">
            <v>2.1077329999999996</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4.0247830000000002</v>
          </cell>
          <cell r="F951">
            <v>0</v>
          </cell>
          <cell r="G951">
            <v>0</v>
          </cell>
          <cell r="H951">
            <v>4.0329999999999998E-2</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0.28915350000000001</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20.005820450073241</v>
          </cell>
          <cell r="F959">
            <v>0</v>
          </cell>
          <cell r="G959">
            <v>0</v>
          </cell>
          <cell r="H959">
            <v>1.8143795162525178</v>
          </cell>
          <cell r="I959">
            <v>0</v>
          </cell>
        </row>
        <row r="960">
          <cell r="D960" t="str">
            <v>POLAND-TOTAL OPEX, US$ DENOM, M$</v>
          </cell>
          <cell r="E960">
            <v>2.758</v>
          </cell>
          <cell r="F960">
            <v>0</v>
          </cell>
          <cell r="G960">
            <v>0</v>
          </cell>
          <cell r="H960">
            <v>0.25800000000000001</v>
          </cell>
          <cell r="I960">
            <v>0</v>
          </cell>
        </row>
        <row r="961">
          <cell r="D961" t="str">
            <v>POLAND-CASH OPEX, FX-ADJ, M$</v>
          </cell>
          <cell r="E961">
            <v>16.148417670960246</v>
          </cell>
          <cell r="F961">
            <v>0</v>
          </cell>
          <cell r="G961">
            <v>0</v>
          </cell>
          <cell r="H961">
            <v>1.7932400164582458</v>
          </cell>
          <cell r="I961">
            <v>0</v>
          </cell>
        </row>
        <row r="962">
          <cell r="D962" t="str">
            <v>POLAND-CASH OPEX, NOMINAL, M$</v>
          </cell>
          <cell r="E962">
            <v>15.981037450073242</v>
          </cell>
          <cell r="F962">
            <v>0</v>
          </cell>
          <cell r="G962">
            <v>0</v>
          </cell>
          <cell r="H962">
            <v>1.7740495162525178</v>
          </cell>
          <cell r="I962">
            <v>0</v>
          </cell>
        </row>
        <row r="963">
          <cell r="D963" t="str">
            <v>POLAND-CASH OPEX, US$ DENOM, M$</v>
          </cell>
          <cell r="E963">
            <v>2.758</v>
          </cell>
          <cell r="F963">
            <v>0</v>
          </cell>
          <cell r="G963">
            <v>0</v>
          </cell>
          <cell r="H963">
            <v>0.25800000000000001</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-0.74099954687499991</v>
          </cell>
          <cell r="F966">
            <v>0.13300000000000001</v>
          </cell>
          <cell r="G966">
            <v>-8.9996904296875003E-3</v>
          </cell>
          <cell r="H966">
            <v>-0.15399925408935544</v>
          </cell>
          <cell r="I966">
            <v>-3.9999599609374997E-3</v>
          </cell>
        </row>
        <row r="967">
          <cell r="D967" t="str">
            <v>PORTUGAL-OPERATING EARNINGS, M$</v>
          </cell>
          <cell r="E967">
            <v>-0.74099954687499991</v>
          </cell>
          <cell r="F967">
            <v>0.13300000000000001</v>
          </cell>
          <cell r="G967">
            <v>-8.9996904296875003E-3</v>
          </cell>
          <cell r="H967">
            <v>-0.15399925408935544</v>
          </cell>
          <cell r="I967">
            <v>-3.9999599609374997E-3</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0.37234350000000005</v>
          </cell>
          <cell r="G972">
            <v>0.13378300000000001</v>
          </cell>
          <cell r="H972">
            <v>1.3375520000000001</v>
          </cell>
          <cell r="I972">
            <v>1.5085089999999999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7.1999999999999995E-2</v>
          </cell>
          <cell r="F975">
            <v>0</v>
          </cell>
          <cell r="G975">
            <v>0</v>
          </cell>
          <cell r="H975">
            <v>0</v>
          </cell>
          <cell r="I975">
            <v>2.1000000000000001E-2</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4.0999999999999996</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0.57849549999999994</v>
          </cell>
          <cell r="F980">
            <v>4.7174000000000001E-2</v>
          </cell>
          <cell r="G980">
            <v>6.2899999999999996E-3</v>
          </cell>
          <cell r="H980">
            <v>0.36070999999999998</v>
          </cell>
          <cell r="I980">
            <v>0.55496499999999993</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4.3032010859375003</v>
          </cell>
          <cell r="F983">
            <v>0.73052705282592767</v>
          </cell>
          <cell r="G983">
            <v>3.0638890014648437E-2</v>
          </cell>
          <cell r="H983">
            <v>0.83594365039062501</v>
          </cell>
          <cell r="I983">
            <v>1.2191052500000001</v>
          </cell>
        </row>
        <row r="984">
          <cell r="D984" t="str">
            <v>PORTUGAL-TOTAL OPEX, US$ DENOM, M$</v>
          </cell>
          <cell r="E984">
            <v>1.4977331999999999</v>
          </cell>
          <cell r="F984">
            <v>0.12059019999999999</v>
          </cell>
          <cell r="G984">
            <v>9.3369500000000001E-3</v>
          </cell>
          <cell r="H984">
            <v>0.11242342899999999</v>
          </cell>
          <cell r="I984">
            <v>6.8981529999999999E-2</v>
          </cell>
        </row>
        <row r="985">
          <cell r="D985" t="str">
            <v>PORTUGAL-CASH OPEX, FX-ADJ, M$</v>
          </cell>
          <cell r="E985">
            <v>4.0485324554972468</v>
          </cell>
          <cell r="F985">
            <v>0.68978676455820154</v>
          </cell>
          <cell r="G985">
            <v>2.9378588403461494E-2</v>
          </cell>
          <cell r="H985">
            <v>0.78615630397383096</v>
          </cell>
          <cell r="I985">
            <v>1.124320890031139</v>
          </cell>
        </row>
        <row r="986">
          <cell r="D986" t="str">
            <v>PORTUGAL-CASH OPEX, NOMINAL, M$</v>
          </cell>
          <cell r="E986">
            <v>4.2089373259374998</v>
          </cell>
          <cell r="F986">
            <v>0.72558021282592766</v>
          </cell>
          <cell r="G986">
            <v>3.0638890014648437E-2</v>
          </cell>
          <cell r="H986">
            <v>0.82852343039062504</v>
          </cell>
          <cell r="I986">
            <v>1.1906850200000003</v>
          </cell>
        </row>
        <row r="987">
          <cell r="D987" t="str">
            <v>PORTUGAL-CASH OPEX, US$ DENOM, M$</v>
          </cell>
          <cell r="E987">
            <v>1.4977331999999999</v>
          </cell>
          <cell r="F987">
            <v>0.12059019999999999</v>
          </cell>
          <cell r="G987">
            <v>9.3369500000000001E-3</v>
          </cell>
          <cell r="H987">
            <v>0.11242342899999999</v>
          </cell>
          <cell r="I987">
            <v>6.8981529999999999E-2</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6.8469440625000004</v>
          </cell>
          <cell r="F990">
            <v>0.21013111500000023</v>
          </cell>
          <cell r="G990">
            <v>0</v>
          </cell>
          <cell r="H990">
            <v>-1.8100019531250001E-2</v>
          </cell>
          <cell r="I990">
            <v>0</v>
          </cell>
        </row>
        <row r="991">
          <cell r="D991" t="str">
            <v>RUSSIA-OPERATING EARNINGS, M$</v>
          </cell>
          <cell r="E991">
            <v>6.8469440625000004</v>
          </cell>
          <cell r="F991">
            <v>0.21013111500000023</v>
          </cell>
          <cell r="G991">
            <v>0</v>
          </cell>
          <cell r="H991">
            <v>-1.8100019531250001E-2</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2.6822655000000002</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18.353157734374999</v>
          </cell>
          <cell r="F1007">
            <v>-0.42852707375000038</v>
          </cell>
          <cell r="G1007">
            <v>0</v>
          </cell>
          <cell r="H1007">
            <v>0.20634465978240968</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-0.42852707375000038</v>
          </cell>
          <cell r="G1009">
            <v>0</v>
          </cell>
          <cell r="H1009">
            <v>0.20634465978240968</v>
          </cell>
          <cell r="I1009">
            <v>0</v>
          </cell>
        </row>
        <row r="1010">
          <cell r="D1010" t="str">
            <v>RUSSIA-CASH OPEX, NOMINAL, M$</v>
          </cell>
          <cell r="E1010">
            <v>17.153157734375</v>
          </cell>
          <cell r="F1010">
            <v>-0.42852707375000038</v>
          </cell>
          <cell r="G1010">
            <v>0</v>
          </cell>
          <cell r="H1010">
            <v>0.20634465978240968</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-5.9599999999999996E-4</v>
          </cell>
          <cell r="G1013">
            <v>0</v>
          </cell>
          <cell r="H1013">
            <v>0</v>
          </cell>
          <cell r="I1013">
            <v>0</v>
          </cell>
        </row>
        <row r="1014">
          <cell r="D1014" t="str">
            <v>SLOVAKIA-SEGMENT EARNINGS, M$</v>
          </cell>
          <cell r="E1014">
            <v>0.25378150781250003</v>
          </cell>
          <cell r="F1014">
            <v>0</v>
          </cell>
          <cell r="G1014">
            <v>1.279316015625E-2</v>
          </cell>
          <cell r="H1014">
            <v>1.8839339660644532E-2</v>
          </cell>
          <cell r="I1014">
            <v>0</v>
          </cell>
        </row>
        <row r="1015">
          <cell r="D1015" t="str">
            <v>SLOVAKIA-OPERATING EARNINGS, M$</v>
          </cell>
          <cell r="E1015">
            <v>0.25378150781250003</v>
          </cell>
          <cell r="F1015">
            <v>0</v>
          </cell>
          <cell r="G1015">
            <v>1.279316015625E-2</v>
          </cell>
          <cell r="H1015">
            <v>1.8839339660644532E-2</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1.8379129999999999</v>
          </cell>
          <cell r="F1020">
            <v>0</v>
          </cell>
          <cell r="G1020">
            <v>0</v>
          </cell>
          <cell r="H1020">
            <v>2.5000000000000001E-2</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7.6999999999999999E-2</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0.23899999999999999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1.4885911367187501</v>
          </cell>
          <cell r="F1031">
            <v>0</v>
          </cell>
          <cell r="G1031">
            <v>4.2028789062500002E-2</v>
          </cell>
          <cell r="H1031">
            <v>0.11422437060546875</v>
          </cell>
          <cell r="I1031">
            <v>0</v>
          </cell>
        </row>
        <row r="1032">
          <cell r="D1032" t="str">
            <v>SLOVAKIA-TOTAL OPEX, US$ DENOM, M$</v>
          </cell>
          <cell r="E1032">
            <v>0.14799999999999999</v>
          </cell>
          <cell r="F1032">
            <v>0</v>
          </cell>
          <cell r="G1032">
            <v>0</v>
          </cell>
          <cell r="H1032">
            <v>7.0000000000000001E-3</v>
          </cell>
          <cell r="I1032">
            <v>0</v>
          </cell>
        </row>
        <row r="1033">
          <cell r="D1033" t="str">
            <v>SLOVAKIA-CASH OPEX, FX-ADJ, M$</v>
          </cell>
          <cell r="E1033">
            <v>1.3652101559247503</v>
          </cell>
          <cell r="F1033">
            <v>0</v>
          </cell>
          <cell r="G1033">
            <v>4.0647839290575159E-2</v>
          </cell>
          <cell r="H1033">
            <v>0.11047127369131993</v>
          </cell>
          <cell r="I1033">
            <v>0</v>
          </cell>
        </row>
        <row r="1034">
          <cell r="D1034" t="str">
            <v>SLOVAKIA-CASH OPEX, NOMINAL, M$</v>
          </cell>
          <cell r="E1034">
            <v>1.4115911367187501</v>
          </cell>
          <cell r="F1034">
            <v>0</v>
          </cell>
          <cell r="G1034">
            <v>4.2028789062500002E-2</v>
          </cell>
          <cell r="H1034">
            <v>0.11422437060546875</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1.9599994999999999</v>
          </cell>
          <cell r="G1038">
            <v>-0.18</v>
          </cell>
          <cell r="H1038">
            <v>9.599954687499998E-2</v>
          </cell>
          <cell r="I1038">
            <v>0</v>
          </cell>
        </row>
        <row r="1039">
          <cell r="D1039" t="str">
            <v>SPAIN-OPERATING EARNINGS, M$</v>
          </cell>
          <cell r="E1039">
            <v>-0.11</v>
          </cell>
          <cell r="F1039">
            <v>1.9599994999999999</v>
          </cell>
          <cell r="G1039">
            <v>-0.18</v>
          </cell>
          <cell r="H1039">
            <v>9.599954687499998E-2</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0.36399999999999999</v>
          </cell>
          <cell r="H1044">
            <v>3.2935000000000003</v>
          </cell>
          <cell r="I1044">
            <v>0</v>
          </cell>
        </row>
        <row r="1045">
          <cell r="D1045" t="str">
            <v>SPAIN-CAPITAL EMPLOYED - YE, M$</v>
          </cell>
          <cell r="E1045">
            <v>10.1</v>
          </cell>
          <cell r="F1045">
            <v>1.6</v>
          </cell>
          <cell r="G1045">
            <v>0</v>
          </cell>
          <cell r="H1045">
            <v>4.9000000000000004</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7.0000000000000001E-3</v>
          </cell>
          <cell r="G1047">
            <v>0</v>
          </cell>
          <cell r="H1047">
            <v>1.2E-2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3.1269999999999998</v>
          </cell>
          <cell r="F1052">
            <v>0.32800000000000001</v>
          </cell>
          <cell r="G1052">
            <v>1.2999999999999999E-2</v>
          </cell>
          <cell r="H1052">
            <v>0.79200000000000004</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13.873247000000001</v>
          </cell>
          <cell r="F1055">
            <v>3.4700785512695309</v>
          </cell>
          <cell r="G1055">
            <v>0.52247960156249995</v>
          </cell>
          <cell r="H1055">
            <v>1.2707077226562502</v>
          </cell>
          <cell r="I1055">
            <v>0</v>
          </cell>
        </row>
        <row r="1056">
          <cell r="D1056" t="str">
            <v>SPAIN-TOTAL OPEX, US$ DENOM, M$</v>
          </cell>
          <cell r="E1056">
            <v>2.8039999999999998</v>
          </cell>
          <cell r="F1056">
            <v>0.50900000000000001</v>
          </cell>
          <cell r="G1056">
            <v>0.17199999999999999</v>
          </cell>
          <cell r="H1056">
            <v>0.29799999999999999</v>
          </cell>
          <cell r="I1056">
            <v>0</v>
          </cell>
        </row>
        <row r="1057">
          <cell r="D1057" t="str">
            <v>SPAIN-CASH OPEX, FX-ADJ, M$</v>
          </cell>
          <cell r="E1057">
            <v>13.0179512477758</v>
          </cell>
          <cell r="F1057">
            <v>3.280777640540506</v>
          </cell>
          <cell r="G1057">
            <v>0.49986225858749439</v>
          </cell>
          <cell r="H1057">
            <v>1.189637826253545</v>
          </cell>
          <cell r="I1057">
            <v>0</v>
          </cell>
        </row>
        <row r="1058">
          <cell r="D1058" t="str">
            <v>SPAIN-CASH OPEX, NOMINAL, M$</v>
          </cell>
          <cell r="E1058">
            <v>13.660247</v>
          </cell>
          <cell r="F1058">
            <v>3.4550785512695308</v>
          </cell>
          <cell r="G1058">
            <v>0.52047960156249995</v>
          </cell>
          <cell r="H1058">
            <v>1.2457077226562503</v>
          </cell>
          <cell r="I1058">
            <v>0</v>
          </cell>
        </row>
        <row r="1059">
          <cell r="D1059" t="str">
            <v>SPAIN-CASH OPEX, US$ DENOM, M$</v>
          </cell>
          <cell r="E1059">
            <v>2.8039999999999998</v>
          </cell>
          <cell r="F1059">
            <v>0.50900000000000001</v>
          </cell>
          <cell r="G1059">
            <v>0.17199999999999999</v>
          </cell>
          <cell r="H1059">
            <v>0.29799999999999999</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0.59662149218749994</v>
          </cell>
          <cell r="G1062">
            <v>0.25534918750000002</v>
          </cell>
          <cell r="H1062">
            <v>3.4753579101562501E-2</v>
          </cell>
          <cell r="I1062">
            <v>0</v>
          </cell>
        </row>
        <row r="1063">
          <cell r="D1063" t="str">
            <v>SWEDEN-OPERATING EARNINGS, M$</v>
          </cell>
          <cell r="E1063">
            <v>-1.820351453125</v>
          </cell>
          <cell r="F1063">
            <v>0.59662149218749994</v>
          </cell>
          <cell r="G1063">
            <v>0.25534918750000002</v>
          </cell>
          <cell r="H1063">
            <v>3.4753579101562501E-2</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12.414055999999999</v>
          </cell>
          <cell r="F1068">
            <v>1.5249320000000002</v>
          </cell>
          <cell r="G1068">
            <v>1.5942499999999998E-2</v>
          </cell>
          <cell r="H1068">
            <v>1.0969865000000001</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0.17899999999999999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1.1000000000000001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6.5243699999999993</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18.195467968750002</v>
          </cell>
          <cell r="F1079">
            <v>1.3113463225097655</v>
          </cell>
          <cell r="G1079">
            <v>5.294105029296875E-2</v>
          </cell>
          <cell r="H1079">
            <v>0.74112288134765625</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16.32701013697044</v>
          </cell>
          <cell r="F1081">
            <v>1.0901056708490673</v>
          </cell>
          <cell r="G1081">
            <v>4.9887488890061643E-2</v>
          </cell>
          <cell r="H1081">
            <v>0.70414386271900986</v>
          </cell>
          <cell r="I1081">
            <v>0</v>
          </cell>
        </row>
        <row r="1082">
          <cell r="D1082" t="str">
            <v>SWEDEN-CASH OPEX, NOMINAL, M$</v>
          </cell>
          <cell r="E1082">
            <v>17.179467968750004</v>
          </cell>
          <cell r="F1082">
            <v>1.1323463225097654</v>
          </cell>
          <cell r="G1082">
            <v>5.294105029296875E-2</v>
          </cell>
          <cell r="H1082">
            <v>0.74112288134765625</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1.0459522656249998</v>
          </cell>
          <cell r="F1086">
            <v>0.2</v>
          </cell>
          <cell r="G1086">
            <v>-0.12779750781249999</v>
          </cell>
          <cell r="H1086">
            <v>-0.1879407685546875</v>
          </cell>
          <cell r="I1086">
            <v>0.5</v>
          </cell>
        </row>
        <row r="1087">
          <cell r="D1087" t="str">
            <v>SWITZERLAND-OPERATING EARNINGS, M$</v>
          </cell>
          <cell r="E1087">
            <v>1.0459522656249998</v>
          </cell>
          <cell r="F1087">
            <v>0.2</v>
          </cell>
          <cell r="G1087">
            <v>-0.12779750781249999</v>
          </cell>
          <cell r="H1087">
            <v>-0.1879407685546875</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2.1699754999999996</v>
          </cell>
          <cell r="F1092">
            <v>0.05</v>
          </cell>
          <cell r="G1092">
            <v>0.25</v>
          </cell>
          <cell r="H1092">
            <v>0.15</v>
          </cell>
          <cell r="I1092">
            <v>-0.25</v>
          </cell>
        </row>
        <row r="1093">
          <cell r="D1093" t="str">
            <v>SWITZERLAND-CAPITAL EMPLOYED - YE, M$</v>
          </cell>
          <cell r="E1093">
            <v>1.5</v>
          </cell>
          <cell r="F1093">
            <v>0</v>
          </cell>
          <cell r="G1093">
            <v>0</v>
          </cell>
          <cell r="H1093">
            <v>-9.9999999999999201E-2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2.2000000000000002</v>
          </cell>
          <cell r="I1098">
            <v>-0.1</v>
          </cell>
        </row>
        <row r="1099">
          <cell r="D1099" t="str">
            <v>SWITZERLAND-OTHER OPERATING WORKING CAPITAL, M$</v>
          </cell>
          <cell r="E1099">
            <v>-2.2999999999999998</v>
          </cell>
          <cell r="F1099">
            <v>-0.1</v>
          </cell>
          <cell r="G1099">
            <v>0</v>
          </cell>
          <cell r="H1099">
            <v>-2.9</v>
          </cell>
          <cell r="I1099">
            <v>-0.2</v>
          </cell>
        </row>
        <row r="1100">
          <cell r="D1100" t="str">
            <v>SWITZERLAND-PROP, PLANT, &amp; EQUIP - NET AVG, M$</v>
          </cell>
          <cell r="E1100">
            <v>0.44723000000000002</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8.1529920000000011</v>
          </cell>
          <cell r="F1103">
            <v>0.115593</v>
          </cell>
          <cell r="G1103">
            <v>0.28492401562500003</v>
          </cell>
          <cell r="H1103">
            <v>0.74299400976562491</v>
          </cell>
          <cell r="I1103">
            <v>0.12811800781249999</v>
          </cell>
        </row>
        <row r="1104">
          <cell r="D1104" t="str">
            <v>SWITZERLAND-TOTAL OPEX, US$ DENOM, M$</v>
          </cell>
          <cell r="E1104">
            <v>0.67</v>
          </cell>
          <cell r="F1104">
            <v>7.0000000000000007E-2</v>
          </cell>
          <cell r="G1104">
            <v>0.05</v>
          </cell>
          <cell r="H1104">
            <v>0.03</v>
          </cell>
          <cell r="I1104">
            <v>0.04</v>
          </cell>
        </row>
        <row r="1105">
          <cell r="D1105" t="str">
            <v>SWITZERLAND-CASH OPEX, FX-ADJ, M$</v>
          </cell>
          <cell r="E1105">
            <v>7.7386820123711351</v>
          </cell>
          <cell r="F1105">
            <v>0.1130686574287447</v>
          </cell>
          <cell r="G1105">
            <v>0.27191700372290029</v>
          </cell>
          <cell r="H1105">
            <v>0.70351774955240387</v>
          </cell>
          <cell r="I1105">
            <v>0.12323918785296012</v>
          </cell>
        </row>
        <row r="1106">
          <cell r="D1106" t="str">
            <v>SWITZERLAND-CASH OPEX, NOMINAL, M$</v>
          </cell>
          <cell r="E1106">
            <v>8.1529920000000011</v>
          </cell>
          <cell r="F1106">
            <v>0.115593</v>
          </cell>
          <cell r="G1106">
            <v>0.28492401562500003</v>
          </cell>
          <cell r="H1106">
            <v>0.74299400976562491</v>
          </cell>
          <cell r="I1106">
            <v>0.12811800781249999</v>
          </cell>
        </row>
        <row r="1107">
          <cell r="D1107" t="str">
            <v>SWITZERLAND-CASH OPEX, US$ DENOM, M$</v>
          </cell>
          <cell r="E1107">
            <v>0.67</v>
          </cell>
          <cell r="F1107">
            <v>7.0000000000000007E-2</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0.87548954687500002</v>
          </cell>
          <cell r="G1110">
            <v>0</v>
          </cell>
          <cell r="H1110">
            <v>0.11862149414062501</v>
          </cell>
          <cell r="I1110">
            <v>0</v>
          </cell>
        </row>
        <row r="1111">
          <cell r="D1111" t="str">
            <v>TURKEY-OPERATING EARNINGS, M$</v>
          </cell>
          <cell r="E1111">
            <v>2.27316221875</v>
          </cell>
          <cell r="F1111">
            <v>0.87548954687500002</v>
          </cell>
          <cell r="G1111">
            <v>0</v>
          </cell>
          <cell r="H1111">
            <v>0.11862149414062501</v>
          </cell>
          <cell r="I1111">
            <v>0</v>
          </cell>
        </row>
        <row r="1112">
          <cell r="D1112" t="str">
            <v>TURKEY-LIFO EARNINGS, M$</v>
          </cell>
          <cell r="E1112">
            <v>0</v>
          </cell>
          <cell r="F1112">
            <v>0</v>
          </cell>
          <cell r="G1112">
            <v>0</v>
          </cell>
          <cell r="H1112">
            <v>0</v>
          </cell>
          <cell r="I1112">
            <v>0</v>
          </cell>
        </row>
        <row r="1113">
          <cell r="D1113" t="str">
            <v>TURKEY-OTHER EARNINGS EVENTS, M$</v>
          </cell>
          <cell r="E1113">
            <v>4.7320000000000001E-2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26.545549999999999</v>
          </cell>
          <cell r="F1116">
            <v>1.0565</v>
          </cell>
          <cell r="G1116">
            <v>1.1000000000000001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2.4E-2</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15.890599999999999</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20.688778812500001</v>
          </cell>
          <cell r="F1127">
            <v>2.7970786624755859</v>
          </cell>
          <cell r="G1127">
            <v>0</v>
          </cell>
          <cell r="H1127">
            <v>0.50882515972900388</v>
          </cell>
          <cell r="I1127">
            <v>0</v>
          </cell>
        </row>
        <row r="1128">
          <cell r="D1128" t="str">
            <v>TURKEY-TOTAL OPEX, US$ DENOM, M$</v>
          </cell>
          <cell r="E1128">
            <v>7.4</v>
          </cell>
          <cell r="F1128">
            <v>0.54900000000000004</v>
          </cell>
          <cell r="G1128">
            <v>0</v>
          </cell>
          <cell r="H1128">
            <v>7.5999999999999998E-2</v>
          </cell>
          <cell r="I1128">
            <v>0</v>
          </cell>
        </row>
        <row r="1129">
          <cell r="D1129" t="str">
            <v>TURKEY-CASH OPEX, FX-ADJ, M$</v>
          </cell>
          <cell r="E1129">
            <v>17.386778812500001</v>
          </cell>
          <cell r="F1129">
            <v>2.7730786624755859</v>
          </cell>
          <cell r="G1129">
            <v>0</v>
          </cell>
          <cell r="H1129">
            <v>0.50882515972900388</v>
          </cell>
          <cell r="I1129">
            <v>0</v>
          </cell>
        </row>
        <row r="1130">
          <cell r="D1130" t="str">
            <v>TURKEY-CASH OPEX, NOMINAL, M$</v>
          </cell>
          <cell r="E1130">
            <v>17.386778812500001</v>
          </cell>
          <cell r="F1130">
            <v>2.7730786624755859</v>
          </cell>
          <cell r="G1130">
            <v>0</v>
          </cell>
          <cell r="H1130">
            <v>0.50882515972900388</v>
          </cell>
          <cell r="I1130">
            <v>0</v>
          </cell>
        </row>
        <row r="1131">
          <cell r="D1131" t="str">
            <v>TURKEY-CASH OPEX, US$ DENOM, M$</v>
          </cell>
          <cell r="E1131">
            <v>7.4</v>
          </cell>
          <cell r="F1131">
            <v>0.54900000000000004</v>
          </cell>
          <cell r="G1131">
            <v>0</v>
          </cell>
          <cell r="H1131">
            <v>7.5999999999999998E-2</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-4.2826747031250001</v>
          </cell>
          <cell r="F1134">
            <v>-3.6433251250000005</v>
          </cell>
          <cell r="G1134">
            <v>0.40300000000000002</v>
          </cell>
          <cell r="H1134">
            <v>-1.2631139140625001</v>
          </cell>
          <cell r="I1134">
            <v>5.24</v>
          </cell>
        </row>
        <row r="1135">
          <cell r="D1135" t="str">
            <v>UK-OPERATING EARNINGS, M$</v>
          </cell>
          <cell r="E1135">
            <v>-5.2386747031249996</v>
          </cell>
          <cell r="F1135">
            <v>-3.6433251250000005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0.95599999999999996</v>
          </cell>
          <cell r="F1137">
            <v>0</v>
          </cell>
          <cell r="G1137">
            <v>3.0000000000000001E-3</v>
          </cell>
          <cell r="H1137">
            <v>2.9000000000000001E-2</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131.12637899999999</v>
          </cell>
          <cell r="F1140">
            <v>4.1500000000000004</v>
          </cell>
          <cell r="G1140">
            <v>0</v>
          </cell>
          <cell r="H1140">
            <v>2.5</v>
          </cell>
          <cell r="I1140">
            <v>10.45</v>
          </cell>
        </row>
        <row r="1141">
          <cell r="D1141" t="str">
            <v>UK-CAPITAL EMPLOYED - YE, M$</v>
          </cell>
          <cell r="E1141">
            <v>139.80000000000001</v>
          </cell>
          <cell r="F1141">
            <v>8.3000000000000007</v>
          </cell>
          <cell r="G1141">
            <v>0</v>
          </cell>
          <cell r="H1141">
            <v>2.2000000000000002</v>
          </cell>
          <cell r="I1141">
            <v>7.9</v>
          </cell>
        </row>
        <row r="1142">
          <cell r="D1142" t="str">
            <v>UK-CASH &amp; MARKETABLE SEC, M$</v>
          </cell>
          <cell r="E1142">
            <v>1.3</v>
          </cell>
          <cell r="F1142">
            <v>0</v>
          </cell>
          <cell r="G1142">
            <v>0</v>
          </cell>
          <cell r="H1142">
            <v>0</v>
          </cell>
          <cell r="I1142">
            <v>0.7</v>
          </cell>
        </row>
        <row r="1143">
          <cell r="D1143" t="str">
            <v>UK-DEPRECIATION, M$</v>
          </cell>
          <cell r="E1143">
            <v>2.2000000000000002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2.2999999999999998</v>
          </cell>
          <cell r="G1145">
            <v>0</v>
          </cell>
          <cell r="H1145">
            <v>-0.5</v>
          </cell>
          <cell r="I1145">
            <v>4.0999999999999996</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40.626069999999999</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91.035370351562506</v>
          </cell>
          <cell r="F1151">
            <v>10.834176757568361</v>
          </cell>
          <cell r="G1151">
            <v>3.0720759699902347</v>
          </cell>
          <cell r="H1151">
            <v>7.5392366893920899</v>
          </cell>
          <cell r="I1151">
            <v>12.643905015625</v>
          </cell>
        </row>
        <row r="1152">
          <cell r="D1152" t="str">
            <v>UK-TOTAL OPEX, US$ DENOM, M$</v>
          </cell>
          <cell r="E1152">
            <v>12.311</v>
          </cell>
          <cell r="F1152">
            <v>4.8520000000000003</v>
          </cell>
          <cell r="G1152">
            <v>0.71</v>
          </cell>
          <cell r="H1152">
            <v>1.351</v>
          </cell>
          <cell r="I1152">
            <v>0.92799999999999994</v>
          </cell>
        </row>
        <row r="1153">
          <cell r="D1153" t="str">
            <v>UK-CASH OPEX, FX-ADJ, M$</v>
          </cell>
          <cell r="E1153">
            <v>86.082047110144941</v>
          </cell>
          <cell r="F1153">
            <v>10.425143840344205</v>
          </cell>
          <cell r="G1153">
            <v>2.9875927038050731</v>
          </cell>
          <cell r="H1153">
            <v>6.9325355658831533</v>
          </cell>
          <cell r="I1153">
            <v>12.22585504115942</v>
          </cell>
        </row>
        <row r="1154">
          <cell r="D1154" t="str">
            <v>UK-CASH OPEX, NOMINAL, M$</v>
          </cell>
          <cell r="E1154">
            <v>88.835370351562503</v>
          </cell>
          <cell r="F1154">
            <v>10.634176757568362</v>
          </cell>
          <cell r="G1154">
            <v>3.0720759699902347</v>
          </cell>
          <cell r="H1154">
            <v>7.1392366893920896</v>
          </cell>
          <cell r="I1154">
            <v>12.643905015625</v>
          </cell>
        </row>
        <row r="1155">
          <cell r="D1155" t="str">
            <v>UK-CASH OPEX, US$ DENOM, M$</v>
          </cell>
          <cell r="E1155">
            <v>10.975</v>
          </cell>
          <cell r="F1155">
            <v>4.7229999999999999</v>
          </cell>
          <cell r="G1155">
            <v>0.68300000000000005</v>
          </cell>
          <cell r="H1155">
            <v>1.294</v>
          </cell>
          <cell r="I1155">
            <v>0.82199999999999995</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2.1679126718749999</v>
          </cell>
          <cell r="F1158">
            <v>0</v>
          </cell>
          <cell r="G1158">
            <v>0</v>
          </cell>
          <cell r="H1158">
            <v>-5.8574599609375003E-3</v>
          </cell>
          <cell r="I1158">
            <v>0</v>
          </cell>
        </row>
        <row r="1159">
          <cell r="D1159" t="str">
            <v>UKRAINE-OPERATING EARNINGS, M$</v>
          </cell>
          <cell r="E1159">
            <v>2.1679126718749999</v>
          </cell>
          <cell r="F1159">
            <v>0</v>
          </cell>
          <cell r="G1159">
            <v>0</v>
          </cell>
          <cell r="H1159">
            <v>-5.8574599609375003E-3</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1.7637469985961916E-2</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1.7637469985961916E-2</v>
          </cell>
          <cell r="I1177">
            <v>0</v>
          </cell>
        </row>
        <row r="1178">
          <cell r="D1178" t="str">
            <v>UKRAINE-CASH OPEX, NOMINAL, M$</v>
          </cell>
          <cell r="E1178">
            <v>2.9901035</v>
          </cell>
          <cell r="F1178">
            <v>0</v>
          </cell>
          <cell r="G1178">
            <v>0</v>
          </cell>
          <cell r="H1178">
            <v>1.7637469985961916E-2</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34.549999999999997</v>
          </cell>
          <cell r="G1188">
            <v>0</v>
          </cell>
          <cell r="H1188">
            <v>0</v>
          </cell>
          <cell r="I1188">
            <v>0</v>
          </cell>
        </row>
        <row r="1189">
          <cell r="D1189" t="str">
            <v>TRADER - EUROPE-CAPITAL EMPLOYED - YE, M$</v>
          </cell>
          <cell r="E1189">
            <v>0</v>
          </cell>
          <cell r="F1189">
            <v>69.099999999999994</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-1.1673800000000005</v>
          </cell>
          <cell r="F1212">
            <v>-0.35</v>
          </cell>
          <cell r="G1212">
            <v>0.05</v>
          </cell>
          <cell r="H1212">
            <v>0.65</v>
          </cell>
          <cell r="I1212">
            <v>4.9999999999999933E-2</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-1.1000000000000001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-1.1000000000000001</v>
          </cell>
        </row>
        <row r="1220">
          <cell r="D1220" t="str">
            <v>HQ - EUROPE-PROP, PLANT, &amp; EQUIP - NET AVG, M$</v>
          </cell>
          <cell r="E1220">
            <v>1.6303449999999999</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-1.1000000000000001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-1.1000000000000001</v>
          </cell>
          <cell r="F1225">
            <v>0</v>
          </cell>
          <cell r="G1225">
            <v>0.4</v>
          </cell>
          <cell r="H1225">
            <v>0</v>
          </cell>
          <cell r="I1225">
            <v>0</v>
          </cell>
        </row>
        <row r="1226">
          <cell r="D1226" t="str">
            <v>HQ - EUROPE-CASH OPEX, NOMINAL, M$</v>
          </cell>
          <cell r="E1226">
            <v>-1.1000000000000001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1.1000000000000001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15.159675499999999</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4.4300649999999999</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8.6534995096436731</v>
          </cell>
          <cell r="F1273">
            <v>0.57952435436417138</v>
          </cell>
          <cell r="G1273">
            <v>0.1</v>
          </cell>
          <cell r="H1273">
            <v>1.6787316116377902</v>
          </cell>
          <cell r="I1273">
            <v>0.31968290290944751</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66.623752499999995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9.8000000000000007</v>
          </cell>
          <cell r="F1291">
            <v>0.6</v>
          </cell>
          <cell r="G1291">
            <v>0</v>
          </cell>
          <cell r="H1291">
            <v>0.1</v>
          </cell>
          <cell r="I1291">
            <v>-0.1</v>
          </cell>
        </row>
        <row r="1292">
          <cell r="D1292" t="str">
            <v>EGYPT-PROP, PLANT, &amp; EQUIP - NET AVG, M$</v>
          </cell>
          <cell r="E1292">
            <v>37.546840000000003</v>
          </cell>
          <cell r="F1292">
            <v>1.7</v>
          </cell>
          <cell r="G1292">
            <v>0</v>
          </cell>
          <cell r="H1292">
            <v>1</v>
          </cell>
          <cell r="I1292">
            <v>0.55000000000000004</v>
          </cell>
        </row>
        <row r="1293">
          <cell r="D1293" t="str">
            <v>EGYPT-PROP, PLANT, &amp; EQUIP - NET YE, M$</v>
          </cell>
          <cell r="E1293">
            <v>37.1</v>
          </cell>
          <cell r="F1293">
            <v>2</v>
          </cell>
          <cell r="G1293">
            <v>0</v>
          </cell>
          <cell r="H1293">
            <v>1.6</v>
          </cell>
          <cell r="I1293">
            <v>1.1000000000000001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2.2000000000000002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28.479710770559031</v>
          </cell>
          <cell r="F1297">
            <v>2.1700841787178939</v>
          </cell>
          <cell r="G1297">
            <v>0</v>
          </cell>
          <cell r="H1297">
            <v>-9.8640189941722439E-2</v>
          </cell>
          <cell r="I1297">
            <v>0.49456075976688973</v>
          </cell>
        </row>
        <row r="1298">
          <cell r="D1298" t="str">
            <v>EGYPT-CASH OPEX, NOMINAL, M$</v>
          </cell>
          <cell r="E1298">
            <v>28.7</v>
          </cell>
          <cell r="F1298">
            <v>2.2000000000000002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6.7106419999999991</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1.1000000000000001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4.4000000000000004</v>
          </cell>
          <cell r="G1326">
            <v>0</v>
          </cell>
          <cell r="H1326">
            <v>0</v>
          </cell>
          <cell r="I1326">
            <v>0</v>
          </cell>
        </row>
        <row r="1327">
          <cell r="D1327" t="str">
            <v>MIDDLE EAST [LS]-OPERATING EARNINGS, M$</v>
          </cell>
          <cell r="E1327">
            <v>4.7</v>
          </cell>
          <cell r="F1327">
            <v>4.4000000000000004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33.156729999999996</v>
          </cell>
          <cell r="F1332">
            <v>5.0999999999999996</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0.45943000000000001</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5.2473650000000003</v>
          </cell>
          <cell r="F1356">
            <v>0.16350000000000001</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2.6712949999999998</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4.9000000000000004</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4.4502624671916013</v>
          </cell>
          <cell r="F1369">
            <v>0.19103237095363079</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4.0999999999999996</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2.2999999999999998</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7.1253549999999999</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8.3000000000000007</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5.8386247911687361</v>
          </cell>
          <cell r="F1393">
            <v>1.5106218175714021</v>
          </cell>
          <cell r="G1393">
            <v>0</v>
          </cell>
          <cell r="H1393">
            <v>3.5260717340388972</v>
          </cell>
          <cell r="I1393">
            <v>1.1077249582337469</v>
          </cell>
        </row>
        <row r="1394">
          <cell r="D1394" t="str">
            <v>NIGERIA-CASH OPEX, NOMINAL, M$</v>
          </cell>
          <cell r="E1394">
            <v>5.8</v>
          </cell>
          <cell r="F1394">
            <v>1.5</v>
          </cell>
          <cell r="G1394">
            <v>0</v>
          </cell>
          <cell r="H1394">
            <v>3.5</v>
          </cell>
          <cell r="I1394">
            <v>1.1000000000000001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12.662245000000002</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1.3871850000000001</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2.2999999999999998</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5.5117272727272724</v>
          </cell>
          <cell r="F1417">
            <v>2.224030303030303</v>
          </cell>
          <cell r="G1417">
            <v>0.38678787878787879</v>
          </cell>
          <cell r="H1417">
            <v>9.6696969696969698E-2</v>
          </cell>
          <cell r="I1417">
            <v>0</v>
          </cell>
        </row>
        <row r="1418">
          <cell r="D1418" t="str">
            <v>SOUTH AFRICA-CASH OPEX, NOMINAL, M$</v>
          </cell>
          <cell r="E1418">
            <v>5.7</v>
          </cell>
          <cell r="F1418">
            <v>2.2999999999999998</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13.730336500000002</v>
          </cell>
          <cell r="F1428">
            <v>0.05</v>
          </cell>
          <cell r="G1428">
            <v>0.15</v>
          </cell>
          <cell r="H1428">
            <v>2.25</v>
          </cell>
          <cell r="I1428">
            <v>0</v>
          </cell>
        </row>
        <row r="1429">
          <cell r="D1429" t="str">
            <v>SOUTHERN AFRICA [LS]-CAPITAL EMPLOYED - YE, M$</v>
          </cell>
          <cell r="E1429">
            <v>19.2</v>
          </cell>
          <cell r="F1429">
            <v>0</v>
          </cell>
          <cell r="G1429">
            <v>0</v>
          </cell>
          <cell r="H1429">
            <v>4.0999999999999996</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9.9999999999999867E-2</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-1.1000000000000001</v>
          </cell>
          <cell r="I1435">
            <v>0</v>
          </cell>
        </row>
        <row r="1436">
          <cell r="D1436" t="str">
            <v>SOUTHERN AFRICA [LS]-PROP, PLANT, &amp; EQUIP - NET AVG, M$</v>
          </cell>
          <cell r="E1436">
            <v>2.4439600000000001</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8.1999999999999993</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0.41371092686316302</v>
          </cell>
          <cell r="F1441">
            <v>5.3427731715790759E-3</v>
          </cell>
          <cell r="G1441">
            <v>1.0685546343158152E-2</v>
          </cell>
          <cell r="H1441">
            <v>1.0685546343158152E-2</v>
          </cell>
          <cell r="I1441">
            <v>0</v>
          </cell>
        </row>
        <row r="1442">
          <cell r="D1442" t="str">
            <v>SOUTHERN AFRICA [LS]-CASH OPEX, NOMINAL, M$</v>
          </cell>
          <cell r="E1442">
            <v>8.1999999999999993</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1.1000000000000001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4.0417449999999997</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2.2000000000000002</v>
          </cell>
          <cell r="F1464">
            <v>0.4</v>
          </cell>
          <cell r="G1464">
            <v>0</v>
          </cell>
          <cell r="H1464">
            <v>0</v>
          </cell>
          <cell r="I1464">
            <v>0.3</v>
          </cell>
        </row>
        <row r="1465">
          <cell r="D1465" t="str">
            <v>TUNISIA-CASH OPEX, FX-ADJ, M$</v>
          </cell>
          <cell r="E1465">
            <v>6.0650847457627117</v>
          </cell>
          <cell r="F1465">
            <v>0.48135593220338979</v>
          </cell>
          <cell r="G1465">
            <v>0</v>
          </cell>
          <cell r="H1465">
            <v>0</v>
          </cell>
          <cell r="I1465">
            <v>0.77016949152542358</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23.227599950000005</v>
          </cell>
          <cell r="F1476">
            <v>2.2000000000000002</v>
          </cell>
          <cell r="G1476">
            <v>0</v>
          </cell>
          <cell r="H1476">
            <v>0.9</v>
          </cell>
          <cell r="I1476">
            <v>0.25</v>
          </cell>
        </row>
        <row r="1477">
          <cell r="D1477" t="str">
            <v>WEST AFRICA [LS]-CAPITAL EMPLOYED - YE, M$</v>
          </cell>
          <cell r="E1477">
            <v>21.6</v>
          </cell>
          <cell r="F1477">
            <v>2.6</v>
          </cell>
          <cell r="G1477">
            <v>0</v>
          </cell>
          <cell r="H1477">
            <v>1.1000000000000001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2.2000000000000002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6.5855899999999998</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4.0999999999999996</v>
          </cell>
          <cell r="F1486">
            <v>0.1</v>
          </cell>
          <cell r="G1486">
            <v>0</v>
          </cell>
          <cell r="H1486">
            <v>0.2</v>
          </cell>
          <cell r="I1486">
            <v>0</v>
          </cell>
        </row>
        <row r="1487">
          <cell r="D1487" t="str">
            <v>WEST AFRICA [LS]-TOTAL OPEX, NOMINAL, M$</v>
          </cell>
          <cell r="E1487">
            <v>17.2</v>
          </cell>
          <cell r="F1487">
            <v>2</v>
          </cell>
          <cell r="G1487">
            <v>0</v>
          </cell>
          <cell r="H1487">
            <v>1.2013409999999998</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17.006569744771358</v>
          </cell>
          <cell r="F1489">
            <v>1.983453119461184</v>
          </cell>
          <cell r="G1489">
            <v>0</v>
          </cell>
          <cell r="H1489">
            <v>1.1570510200629205</v>
          </cell>
          <cell r="I1489">
            <v>0.83338124778447376</v>
          </cell>
        </row>
        <row r="1490">
          <cell r="D1490" t="str">
            <v>WEST AFRICA [LS]-CASH OPEX, NOMINAL, M$</v>
          </cell>
          <cell r="E1490">
            <v>16.3</v>
          </cell>
          <cell r="F1490">
            <v>1.9</v>
          </cell>
          <cell r="G1490">
            <v>0</v>
          </cell>
          <cell r="H1490">
            <v>1.1013409999999997</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-1.1000000000000001</v>
          </cell>
          <cell r="I1524">
            <v>-0.3</v>
          </cell>
        </row>
        <row r="1525">
          <cell r="D1525" t="str">
            <v>AFRICA / MIDDLE EAST ADJ-CAPITAL EMPLOYED - YE, M$</v>
          </cell>
          <cell r="E1525">
            <v>-19.100000000000001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-19.100000000000001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-19.100000000000001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4.8989710000000004</v>
          </cell>
          <cell r="F1542">
            <v>0.53160800000000008</v>
          </cell>
          <cell r="G1542">
            <v>1.178973</v>
          </cell>
          <cell r="H1542">
            <v>1.3739129999999999</v>
          </cell>
          <cell r="I1542">
            <v>7.4665569999999999</v>
          </cell>
        </row>
        <row r="1543">
          <cell r="D1543" t="str">
            <v>AUSTRALIA-OPERATING EARNINGS, M$</v>
          </cell>
          <cell r="E1543">
            <v>4.3969810000000003</v>
          </cell>
          <cell r="F1543">
            <v>0.50275800000000004</v>
          </cell>
          <cell r="G1543">
            <v>1.144353</v>
          </cell>
          <cell r="H1543">
            <v>1.3623729999999998</v>
          </cell>
          <cell r="I1543">
            <v>5.5665570000000004</v>
          </cell>
        </row>
        <row r="1544">
          <cell r="D1544" t="str">
            <v>AUSTRALIA-LIFO EARNINGS, M$</v>
          </cell>
          <cell r="E1544">
            <v>0</v>
          </cell>
          <cell r="F1544">
            <v>0</v>
          </cell>
          <cell r="G1544">
            <v>0</v>
          </cell>
          <cell r="H1544">
            <v>0</v>
          </cell>
          <cell r="I1544">
            <v>0</v>
          </cell>
        </row>
        <row r="1545">
          <cell r="D1545" t="str">
            <v>AUSTRALIA-OTHER EARNINGS EVENTS, M$</v>
          </cell>
          <cell r="E1545">
            <v>0.50199000000000005</v>
          </cell>
          <cell r="F1545">
            <v>2.8850000000000001E-2</v>
          </cell>
          <cell r="G1545">
            <v>3.4619999999999998E-2</v>
          </cell>
          <cell r="H1545">
            <v>1.154E-2</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42.468261999999996</v>
          </cell>
          <cell r="F1548">
            <v>2.52</v>
          </cell>
          <cell r="G1548">
            <v>3.6020000000000003</v>
          </cell>
          <cell r="H1548">
            <v>6.8843999999999994</v>
          </cell>
          <cell r="I1548">
            <v>29.462000000000003</v>
          </cell>
        </row>
        <row r="1549">
          <cell r="D1549" t="str">
            <v>AUSTRALIA-CAPITAL EMPLOYED - YE, M$</v>
          </cell>
          <cell r="E1549">
            <v>37.200000000000003</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0.16092473698408416</v>
          </cell>
          <cell r="F1551">
            <v>0</v>
          </cell>
          <cell r="G1551">
            <v>0</v>
          </cell>
          <cell r="H1551">
            <v>2.6303210142972756E-2</v>
          </cell>
          <cell r="I1551">
            <v>0.23992069058537902</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4.6100000000000003</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17.612479999999998</v>
          </cell>
          <cell r="F1556">
            <v>1.2515000000000001</v>
          </cell>
          <cell r="G1556">
            <v>0.379</v>
          </cell>
          <cell r="H1556">
            <v>1.6990000000000001</v>
          </cell>
          <cell r="I1556">
            <v>3.0845000000000002</v>
          </cell>
        </row>
        <row r="1557">
          <cell r="D1557" t="str">
            <v>AUSTRALIA-PROP, PLANT, &amp; EQUIP - NET YE, M$</v>
          </cell>
          <cell r="E1557">
            <v>17.399999999999999</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38.704145812832969</v>
          </cell>
          <cell r="F1559">
            <v>3.6024899031639044</v>
          </cell>
          <cell r="G1559">
            <v>1.9564077253193908</v>
          </cell>
          <cell r="H1559">
            <v>5.2784677331473917</v>
          </cell>
          <cell r="I1559">
            <v>67.666139320999989</v>
          </cell>
        </row>
        <row r="1560">
          <cell r="D1560" t="str">
            <v>AUSTRALIA-TOTAL OPEX, US$ DENOM, M$</v>
          </cell>
          <cell r="E1560">
            <v>6.3633759999999997</v>
          </cell>
          <cell r="F1560">
            <v>0.49893360000000009</v>
          </cell>
          <cell r="G1560">
            <v>0.60668699999999998</v>
          </cell>
          <cell r="H1560">
            <v>0.52565200000000001</v>
          </cell>
          <cell r="I1560">
            <v>0.51757799999999998</v>
          </cell>
        </row>
        <row r="1561">
          <cell r="D1561" t="str">
            <v>AUSTRALIA-CASH OPEX, FX-ADJ, M$</v>
          </cell>
          <cell r="E1561">
            <v>37.183957828113805</v>
          </cell>
          <cell r="F1561">
            <v>3.4713969780667209</v>
          </cell>
          <cell r="G1561">
            <v>1.8993960842655353</v>
          </cell>
          <cell r="H1561">
            <v>5.0525186034129304</v>
          </cell>
          <cell r="I1561">
            <v>64.600025528786162</v>
          </cell>
        </row>
        <row r="1562">
          <cell r="D1562" t="str">
            <v>AUSTRALIA-CASH OPEX, NOMINAL, M$</v>
          </cell>
          <cell r="E1562">
            <v>38.543221075848884</v>
          </cell>
          <cell r="F1562">
            <v>3.6024899031639044</v>
          </cell>
          <cell r="G1562">
            <v>1.9564077253193908</v>
          </cell>
          <cell r="H1562">
            <v>5.2521645230044189</v>
          </cell>
          <cell r="I1562">
            <v>67.42621863041461</v>
          </cell>
        </row>
        <row r="1563">
          <cell r="D1563" t="str">
            <v>AUSTRALIA-CASH OPEX, US$ DENOM, M$</v>
          </cell>
          <cell r="E1563">
            <v>6.3633759999999997</v>
          </cell>
          <cell r="F1563">
            <v>0.49893360000000009</v>
          </cell>
          <cell r="G1563">
            <v>0.60668699999999998</v>
          </cell>
          <cell r="H1563">
            <v>0.52565200000000001</v>
          </cell>
          <cell r="I1563">
            <v>0.51757799999999998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-0.77283228702897322</v>
          </cell>
          <cell r="F1565">
            <v>-4.4137338084846878E-2</v>
          </cell>
          <cell r="G1565">
            <v>-5.3374875552848797E-2</v>
          </cell>
          <cell r="H1565">
            <v>-1.5980003878586013E-2</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1.4567869999999996</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0.97645649999999984</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33.627810944809042</v>
          </cell>
          <cell r="F1590">
            <v>3.3365024902745608</v>
          </cell>
          <cell r="G1590">
            <v>3.0339999556065929E-2</v>
          </cell>
          <cell r="H1590">
            <v>0.51236577559537966</v>
          </cell>
          <cell r="I1590">
            <v>-7.8130895074186857E-2</v>
          </cell>
        </row>
        <row r="1591">
          <cell r="D1591" t="str">
            <v>CHINA-OPERATING EARNINGS, M$</v>
          </cell>
          <cell r="E1591">
            <v>28.601810944809039</v>
          </cell>
          <cell r="F1591">
            <v>2.8038924902745608</v>
          </cell>
          <cell r="G1591">
            <v>3.0339999556065929E-2</v>
          </cell>
          <cell r="H1591">
            <v>0.38298777559537961</v>
          </cell>
          <cell r="I1591">
            <v>-7.8130895074186857E-2</v>
          </cell>
        </row>
        <row r="1592">
          <cell r="D1592" t="str">
            <v>CHINA-LIFO EARNINGS, M$</v>
          </cell>
          <cell r="E1592">
            <v>0</v>
          </cell>
          <cell r="F1592">
            <v>0</v>
          </cell>
          <cell r="G1592">
            <v>0</v>
          </cell>
          <cell r="H1592">
            <v>0</v>
          </cell>
          <cell r="I1592">
            <v>0</v>
          </cell>
        </row>
        <row r="1593">
          <cell r="D1593" t="str">
            <v>CHINA-OTHER EARNINGS EVENTS, M$</v>
          </cell>
          <cell r="E1593">
            <v>5.0259999999999998</v>
          </cell>
          <cell r="F1593">
            <v>0.53261000000000003</v>
          </cell>
          <cell r="G1593">
            <v>0</v>
          </cell>
          <cell r="H1593">
            <v>0.12937799999999999</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185.22390999999999</v>
          </cell>
          <cell r="F1596">
            <v>15.495950499999999</v>
          </cell>
          <cell r="G1596">
            <v>0</v>
          </cell>
          <cell r="H1596">
            <v>3.5633924999999995</v>
          </cell>
          <cell r="I1596">
            <v>5.7136639999999996</v>
          </cell>
        </row>
        <row r="1597">
          <cell r="D1597" t="str">
            <v>CHINA-CAPITAL EMPLOYED - YE, M$</v>
          </cell>
          <cell r="E1597">
            <v>161.19999999999999</v>
          </cell>
          <cell r="F1597">
            <v>8.9</v>
          </cell>
          <cell r="G1597">
            <v>0</v>
          </cell>
          <cell r="H1597">
            <v>4.2</v>
          </cell>
          <cell r="I1597">
            <v>6.1</v>
          </cell>
        </row>
        <row r="1598">
          <cell r="D1598" t="str">
            <v>CHINA-CASH &amp; MARKETABLE SEC, M$</v>
          </cell>
          <cell r="E1598">
            <v>16.7</v>
          </cell>
          <cell r="F1598">
            <v>1.1000000000000001</v>
          </cell>
          <cell r="G1598">
            <v>0</v>
          </cell>
          <cell r="H1598">
            <v>0.7</v>
          </cell>
          <cell r="I1598">
            <v>0.7</v>
          </cell>
        </row>
        <row r="1599">
          <cell r="D1599" t="str">
            <v>CHINA-DEPRECIATION, M$</v>
          </cell>
          <cell r="E1599">
            <v>10.199999999999999</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38.799999999999997</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-2.2000000000000002</v>
          </cell>
          <cell r="G1603">
            <v>0</v>
          </cell>
          <cell r="H1603">
            <v>-0.1</v>
          </cell>
          <cell r="I1603">
            <v>0</v>
          </cell>
        </row>
        <row r="1604">
          <cell r="D1604" t="str">
            <v>CHINA-PROP, PLANT, &amp; EQUIP - NET AVG, M$</v>
          </cell>
          <cell r="E1604">
            <v>131.52612349999998</v>
          </cell>
          <cell r="F1604">
            <v>9.5620600000000007</v>
          </cell>
          <cell r="G1604">
            <v>0</v>
          </cell>
          <cell r="H1604">
            <v>0.5</v>
          </cell>
          <cell r="I1604">
            <v>4.1257529999999996</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62.231555735785435</v>
          </cell>
          <cell r="F1607">
            <v>6.6670580213721511</v>
          </cell>
          <cell r="G1607">
            <v>5.413829323449109E-10</v>
          </cell>
          <cell r="H1607">
            <v>1.537581506500022</v>
          </cell>
          <cell r="I1607">
            <v>1.1014688017593586</v>
          </cell>
        </row>
        <row r="1608">
          <cell r="D1608" t="str">
            <v>CHINA-TOTAL OPEX, US$ DENOM, M$</v>
          </cell>
          <cell r="E1608">
            <v>8.17</v>
          </cell>
          <cell r="F1608">
            <v>2.25</v>
          </cell>
          <cell r="G1608">
            <v>0</v>
          </cell>
          <cell r="H1608">
            <v>0.15</v>
          </cell>
          <cell r="I1608">
            <v>0.05</v>
          </cell>
        </row>
        <row r="1609">
          <cell r="D1609" t="str">
            <v>CHINA-CASH OPEX, FX-ADJ, M$</v>
          </cell>
          <cell r="E1609">
            <v>52.187455528252208</v>
          </cell>
          <cell r="F1609">
            <v>6.6870342251815069</v>
          </cell>
          <cell r="G1609">
            <v>5.4300505349051374E-10</v>
          </cell>
          <cell r="H1609">
            <v>1.5421884922872882</v>
          </cell>
          <cell r="I1609">
            <v>1.1047690828133194</v>
          </cell>
        </row>
        <row r="1610">
          <cell r="D1610" t="str">
            <v>CHINA-CASH OPEX, NOMINAL, M$</v>
          </cell>
          <cell r="E1610">
            <v>52.031555735785432</v>
          </cell>
          <cell r="F1610">
            <v>6.6670580213721511</v>
          </cell>
          <cell r="G1610">
            <v>5.413829323449109E-10</v>
          </cell>
          <cell r="H1610">
            <v>1.537581506500022</v>
          </cell>
          <cell r="I1610">
            <v>1.1014688017593586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0.37682488211999998</v>
          </cell>
          <cell r="G1614">
            <v>0</v>
          </cell>
          <cell r="H1614">
            <v>0</v>
          </cell>
          <cell r="I1614">
            <v>0</v>
          </cell>
        </row>
        <row r="1615">
          <cell r="D1615" t="str">
            <v>GUAM-OPERATING EARNINGS, M$</v>
          </cell>
          <cell r="E1615">
            <v>1.91</v>
          </cell>
          <cell r="F1615">
            <v>0.37682488211999998</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3.4766649999999997</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1.1000000000000001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1.0561071945130065</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1.0561071945130065</v>
          </cell>
          <cell r="F1633">
            <v>0.129523</v>
          </cell>
          <cell r="G1633">
            <v>0</v>
          </cell>
          <cell r="H1633">
            <v>0</v>
          </cell>
          <cell r="I1633">
            <v>0</v>
          </cell>
        </row>
        <row r="1634">
          <cell r="D1634" t="str">
            <v>GUAM-CASH OPEX, NOMINAL, M$</v>
          </cell>
          <cell r="E1634">
            <v>1.0561071945130065</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-0.20688080548699331</v>
          </cell>
          <cell r="F1637">
            <v>0</v>
          </cell>
          <cell r="G1637">
            <v>0</v>
          </cell>
          <cell r="H1637">
            <v>0</v>
          </cell>
          <cell r="I1637">
            <v>0</v>
          </cell>
        </row>
        <row r="1638">
          <cell r="D1638" t="str">
            <v>INDIA-SEGMENT EARNINGS, M$</v>
          </cell>
          <cell r="E1638">
            <v>5.4833881820825798</v>
          </cell>
          <cell r="F1638">
            <v>-0.11201873788377514</v>
          </cell>
          <cell r="G1638">
            <v>0</v>
          </cell>
          <cell r="H1638">
            <v>-7.7671957609489667E-2</v>
          </cell>
          <cell r="I1638">
            <v>0</v>
          </cell>
        </row>
        <row r="1639">
          <cell r="D1639" t="str">
            <v>INDIA-OPERATING EARNINGS, M$</v>
          </cell>
          <cell r="E1639">
            <v>0.21438818208257926</v>
          </cell>
          <cell r="F1639">
            <v>-0.11201873788377514</v>
          </cell>
          <cell r="G1639">
            <v>0</v>
          </cell>
          <cell r="H1639">
            <v>-7.7671957609489667E-2</v>
          </cell>
          <cell r="I1639">
            <v>0</v>
          </cell>
        </row>
        <row r="1640">
          <cell r="D1640" t="str">
            <v>INDIA-LIFO EARNINGS, M$</v>
          </cell>
          <cell r="E1640">
            <v>0</v>
          </cell>
          <cell r="F1640">
            <v>0</v>
          </cell>
          <cell r="G1640">
            <v>0</v>
          </cell>
          <cell r="H1640">
            <v>0</v>
          </cell>
          <cell r="I1640">
            <v>0</v>
          </cell>
        </row>
        <row r="1641">
          <cell r="D1641" t="str">
            <v>INDIA-OTHER EARNINGS EVENTS, M$</v>
          </cell>
          <cell r="E1641">
            <v>5.2690000000000001</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17.934534999999997</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5.0999999999999996</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0.82145000000000001</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12.202448245391745</v>
          </cell>
          <cell r="F1655">
            <v>0.44401873788377522</v>
          </cell>
          <cell r="G1655">
            <v>0</v>
          </cell>
          <cell r="H1655">
            <v>0.22767195759586106</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11.795785211941917</v>
          </cell>
          <cell r="F1657">
            <v>0.44003969218537581</v>
          </cell>
          <cell r="G1657">
            <v>0</v>
          </cell>
          <cell r="H1657">
            <v>0.22563168981834419</v>
          </cell>
          <cell r="I1657">
            <v>0</v>
          </cell>
        </row>
        <row r="1658">
          <cell r="D1658" t="str">
            <v>INDIA-CASH OPEX, NOMINAL, M$</v>
          </cell>
          <cell r="E1658">
            <v>11.902448245391744</v>
          </cell>
          <cell r="F1658">
            <v>0.44401873788377522</v>
          </cell>
          <cell r="G1658">
            <v>0</v>
          </cell>
          <cell r="H1658">
            <v>0.22767195759586106</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1.6149999999991012</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7.5251753276198876</v>
          </cell>
          <cell r="F1679">
            <v>0.25308039999999998</v>
          </cell>
          <cell r="G1679">
            <v>0</v>
          </cell>
          <cell r="H1679">
            <v>0.29629689250847668</v>
          </cell>
          <cell r="I1679">
            <v>0.1635125316731062</v>
          </cell>
        </row>
        <row r="1680">
          <cell r="D1680" t="str">
            <v>INDONESIA-TOTAL OPEX, US$ DENOM, M$</v>
          </cell>
          <cell r="E1680">
            <v>0</v>
          </cell>
          <cell r="F1680">
            <v>0</v>
          </cell>
          <cell r="G1680">
            <v>0</v>
          </cell>
          <cell r="H1680">
            <v>0</v>
          </cell>
          <cell r="I1680">
            <v>0</v>
          </cell>
        </row>
        <row r="1681">
          <cell r="D1681" t="str">
            <v>INDONESIA-CASH OPEX, FX-ADJ, M$</v>
          </cell>
          <cell r="E1681">
            <v>6.8826745767151021</v>
          </cell>
          <cell r="F1681">
            <v>0.23147235235193103</v>
          </cell>
          <cell r="G1681">
            <v>0</v>
          </cell>
          <cell r="H1681">
            <v>0.27099901337086696</v>
          </cell>
          <cell r="I1681">
            <v>0.14955180387494854</v>
          </cell>
        </row>
        <row r="1682">
          <cell r="D1682" t="str">
            <v>INDONESIA-CASH OPEX, NOMINAL, M$</v>
          </cell>
          <cell r="E1682">
            <v>7.5251753276198876</v>
          </cell>
          <cell r="F1682">
            <v>0.25308039999999998</v>
          </cell>
          <cell r="G1682">
            <v>0</v>
          </cell>
          <cell r="H1682">
            <v>0.29629689250847668</v>
          </cell>
          <cell r="I1682">
            <v>0.1635125316731062</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-25.107727396428501</v>
          </cell>
          <cell r="F1686">
            <v>-2.2964729806415263</v>
          </cell>
          <cell r="G1686">
            <v>-0.50284079150387795</v>
          </cell>
          <cell r="H1686">
            <v>-1.1982989029723015</v>
          </cell>
          <cell r="I1686">
            <v>1.1014578875799996</v>
          </cell>
        </row>
        <row r="1687">
          <cell r="D1687" t="str">
            <v>JAPAN-OPERATING EARNINGS, M$</v>
          </cell>
          <cell r="E1687">
            <v>-14.707727396428503</v>
          </cell>
          <cell r="F1687">
            <v>-1.3964729806415264</v>
          </cell>
          <cell r="G1687">
            <v>-0.40284079150387792</v>
          </cell>
          <cell r="H1687">
            <v>-0.19829890297230154</v>
          </cell>
          <cell r="I1687">
            <v>1.1014578875799996</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60.831941999999998</v>
          </cell>
          <cell r="F1692">
            <v>6.7</v>
          </cell>
          <cell r="G1692">
            <v>0.35</v>
          </cell>
          <cell r="H1692">
            <v>2.0499999999999998</v>
          </cell>
          <cell r="I1692">
            <v>-0.6</v>
          </cell>
        </row>
        <row r="1693">
          <cell r="D1693" t="str">
            <v>JAPAN-CAPITAL EMPLOYED - YE, M$</v>
          </cell>
          <cell r="E1693">
            <v>31.9</v>
          </cell>
          <cell r="F1693">
            <v>4.0999999999999996</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1.1000000000000001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165.37392450999309</v>
          </cell>
          <cell r="F1703">
            <v>20.80345804312703</v>
          </cell>
          <cell r="G1703">
            <v>0.71961085792374058</v>
          </cell>
          <cell r="H1703">
            <v>10.119006972956141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138.04306105636638</v>
          </cell>
          <cell r="F1705">
            <v>18.458711274661333</v>
          </cell>
          <cell r="G1705">
            <v>0.61673246954416061</v>
          </cell>
          <cell r="H1705">
            <v>8.2528578773850167</v>
          </cell>
          <cell r="I1705">
            <v>0.31819578358153849</v>
          </cell>
        </row>
        <row r="1706">
          <cell r="D1706" t="str">
            <v>JAPAN-CASH OPEX, NOMINAL, M$</v>
          </cell>
          <cell r="E1706">
            <v>143.16392450999308</v>
          </cell>
          <cell r="F1706">
            <v>19.14345804312703</v>
          </cell>
          <cell r="G1706">
            <v>0.63961085792374062</v>
          </cell>
          <cell r="H1706">
            <v>8.5590069729561407</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18.546999999999997</v>
          </cell>
          <cell r="F1709">
            <v>1.4980000000000002</v>
          </cell>
          <cell r="G1709">
            <v>0</v>
          </cell>
          <cell r="H1709">
            <v>1.847</v>
          </cell>
          <cell r="I1709">
            <v>0</v>
          </cell>
        </row>
        <row r="1710">
          <cell r="D1710" t="str">
            <v>KOREA-SEGMENT EARNINGS, M$</v>
          </cell>
          <cell r="E1710">
            <v>2.6175420000000003</v>
          </cell>
          <cell r="F1710">
            <v>1.805118</v>
          </cell>
          <cell r="G1710">
            <v>-5.5169000000000003E-2</v>
          </cell>
          <cell r="H1710">
            <v>0.15845700000000001</v>
          </cell>
          <cell r="I1710">
            <v>0</v>
          </cell>
        </row>
        <row r="1711">
          <cell r="D1711" t="str">
            <v>KOREA-OPERATING EARNINGS, M$</v>
          </cell>
          <cell r="E1711">
            <v>2.6175420000000003</v>
          </cell>
          <cell r="F1711">
            <v>1.805118</v>
          </cell>
          <cell r="G1711">
            <v>-5.5169000000000003E-2</v>
          </cell>
          <cell r="H1711">
            <v>0.15845700000000001</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2.7090000000000001</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0.50798699999999997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2.2999999999999998</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0.13336500000000001</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10.892350164753529</v>
          </cell>
          <cell r="F1727">
            <v>2.9095977129000001</v>
          </cell>
          <cell r="G1727">
            <v>1.8577000320000002E-2</v>
          </cell>
          <cell r="H1727">
            <v>0.48133712202647044</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9.8974996675172591</v>
          </cell>
          <cell r="F1729">
            <v>2.7701819392075464</v>
          </cell>
          <cell r="G1729">
            <v>1.7522297076511834E-2</v>
          </cell>
          <cell r="H1729">
            <v>0.45997070245339261</v>
          </cell>
          <cell r="I1729">
            <v>0</v>
          </cell>
        </row>
        <row r="1730">
          <cell r="D1730" t="str">
            <v>KOREA-CASH OPEX, NOMINAL, M$</v>
          </cell>
          <cell r="E1730">
            <v>10.384363164753529</v>
          </cell>
          <cell r="F1730">
            <v>2.9095977129000001</v>
          </cell>
          <cell r="G1730">
            <v>1.8577000320000002E-2</v>
          </cell>
          <cell r="H1730">
            <v>0.48133712202647044</v>
          </cell>
          <cell r="I1730">
            <v>0</v>
          </cell>
        </row>
        <row r="1731">
          <cell r="D1731" t="str">
            <v>KOREA-CASH OPEX, US$ DENOM, M$</v>
          </cell>
          <cell r="E1731">
            <v>1.8089999999999997</v>
          </cell>
          <cell r="F1731">
            <v>0.45400000000000001</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1.7892486932899259</v>
          </cell>
          <cell r="F1734">
            <v>0.34220100708478757</v>
          </cell>
          <cell r="G1734">
            <v>0</v>
          </cell>
          <cell r="H1734">
            <v>0.15771923564507423</v>
          </cell>
          <cell r="I1734">
            <v>0.9</v>
          </cell>
        </row>
        <row r="1735">
          <cell r="D1735" t="str">
            <v>MALAYSIA-OPERATING EARNINGS, M$</v>
          </cell>
          <cell r="E1735">
            <v>1.6979597080399258</v>
          </cell>
          <cell r="F1735">
            <v>0.3388664170847876</v>
          </cell>
          <cell r="G1735">
            <v>0</v>
          </cell>
          <cell r="H1735">
            <v>0.15245037239507406</v>
          </cell>
          <cell r="I1735">
            <v>0.9</v>
          </cell>
        </row>
        <row r="1736">
          <cell r="D1736" t="str">
            <v>MALAYSIA-LIFO EARNINGS, M$</v>
          </cell>
          <cell r="E1736">
            <v>0</v>
          </cell>
          <cell r="F1736">
            <v>0</v>
          </cell>
          <cell r="G1736">
            <v>0</v>
          </cell>
          <cell r="H1736">
            <v>0</v>
          </cell>
          <cell r="I1736">
            <v>0</v>
          </cell>
        </row>
        <row r="1737">
          <cell r="D1737" t="str">
            <v>MALAYSIA-OTHER EARNINGS EVENTS, M$</v>
          </cell>
          <cell r="E1737">
            <v>9.128898525000001E-2</v>
          </cell>
          <cell r="F1737">
            <v>3.3345899999999676E-3</v>
          </cell>
          <cell r="G1737">
            <v>0</v>
          </cell>
          <cell r="H1737">
            <v>5.2688632500001728E-3</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7.2627585205125929</v>
          </cell>
          <cell r="F1740">
            <v>0.27492828386431384</v>
          </cell>
          <cell r="G1740">
            <v>0</v>
          </cell>
          <cell r="H1740">
            <v>0.87071874441933728</v>
          </cell>
          <cell r="I1740">
            <v>0.76787143411358239</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6.3932199999999995</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9.0927113373240829</v>
          </cell>
          <cell r="F1751">
            <v>0.38342807605711321</v>
          </cell>
          <cell r="G1751">
            <v>0</v>
          </cell>
          <cell r="H1751">
            <v>1.1106216020438715</v>
          </cell>
          <cell r="I1751">
            <v>0.75714723999999989</v>
          </cell>
        </row>
        <row r="1752">
          <cell r="D1752" t="str">
            <v>MALAYSIA-TOTAL OPEX, US$ DENOM, M$</v>
          </cell>
          <cell r="E1752">
            <v>0</v>
          </cell>
          <cell r="F1752">
            <v>0</v>
          </cell>
          <cell r="G1752">
            <v>0</v>
          </cell>
          <cell r="H1752">
            <v>0</v>
          </cell>
          <cell r="I1752">
            <v>0</v>
          </cell>
        </row>
        <row r="1753">
          <cell r="D1753" t="str">
            <v>MALAYSIA-CASH OPEX, FX-ADJ, M$</v>
          </cell>
          <cell r="E1753">
            <v>8.6572113373240835</v>
          </cell>
          <cell r="F1753">
            <v>0.38342807605711321</v>
          </cell>
          <cell r="G1753">
            <v>0</v>
          </cell>
          <cell r="H1753">
            <v>1.1106216020438715</v>
          </cell>
          <cell r="I1753">
            <v>0.75714723999999989</v>
          </cell>
        </row>
        <row r="1754">
          <cell r="D1754" t="str">
            <v>MALAYSIA-CASH OPEX, NOMINAL, M$</v>
          </cell>
          <cell r="E1754">
            <v>8.6572113373240835</v>
          </cell>
          <cell r="F1754">
            <v>0.38342807605711321</v>
          </cell>
          <cell r="G1754">
            <v>0</v>
          </cell>
          <cell r="H1754">
            <v>1.1106216020438715</v>
          </cell>
          <cell r="I1754">
            <v>0.75714723999999989</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-0.14144541111611125</v>
          </cell>
          <cell r="F1757">
            <v>-5.7769242463378253E-3</v>
          </cell>
          <cell r="G1757">
            <v>0</v>
          </cell>
          <cell r="H1757">
            <v>-7.5438824034969832E-3</v>
          </cell>
          <cell r="I1757">
            <v>0</v>
          </cell>
        </row>
        <row r="1758">
          <cell r="D1758" t="str">
            <v>NEW ZEALAND-SEGMENT EARNINGS, M$</v>
          </cell>
          <cell r="E1758">
            <v>2.34</v>
          </cell>
          <cell r="F1758">
            <v>9.6753529401344462E-2</v>
          </cell>
          <cell r="G1758">
            <v>0</v>
          </cell>
          <cell r="H1758">
            <v>-3.465267161993503E-3</v>
          </cell>
          <cell r="I1758">
            <v>0</v>
          </cell>
        </row>
        <row r="1759">
          <cell r="D1759" t="str">
            <v>NEW ZEALAND-OPERATING EARNINGS, M$</v>
          </cell>
          <cell r="E1759">
            <v>2.34</v>
          </cell>
          <cell r="F1759">
            <v>9.6753529401344462E-2</v>
          </cell>
          <cell r="G1759">
            <v>0</v>
          </cell>
          <cell r="H1759">
            <v>-3.465267161993503E-3</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11.045999999999999</v>
          </cell>
          <cell r="F1764">
            <v>1.25</v>
          </cell>
          <cell r="G1764">
            <v>0</v>
          </cell>
          <cell r="H1764">
            <v>2.4700000000000002</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2.1000000000000001E-2</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2.0885750000000001</v>
          </cell>
          <cell r="F1772">
            <v>0.26500000000000001</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5.891246726264205</v>
          </cell>
          <cell r="F1775">
            <v>0.97612322716217226</v>
          </cell>
          <cell r="G1775">
            <v>0</v>
          </cell>
          <cell r="H1775">
            <v>1.0501550705402889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5.5300421087342135</v>
          </cell>
          <cell r="F1777">
            <v>0.93695042167038023</v>
          </cell>
          <cell r="G1777">
            <v>0</v>
          </cell>
          <cell r="H1777">
            <v>0.98785404391030962</v>
          </cell>
          <cell r="I1777">
            <v>0</v>
          </cell>
        </row>
        <row r="1778">
          <cell r="D1778" t="str">
            <v>NEW ZEALAND-CASH OPEX, NOMINAL, M$</v>
          </cell>
          <cell r="E1778">
            <v>5.7612467262642051</v>
          </cell>
          <cell r="F1778">
            <v>0.97612322716217226</v>
          </cell>
          <cell r="G1778">
            <v>0</v>
          </cell>
          <cell r="H1778">
            <v>1.029155070540289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1.7492399999999999</v>
          </cell>
          <cell r="F1782">
            <v>0.17179999999999998</v>
          </cell>
          <cell r="G1782">
            <v>0</v>
          </cell>
          <cell r="H1782">
            <v>0</v>
          </cell>
          <cell r="I1782">
            <v>0</v>
          </cell>
        </row>
        <row r="1783">
          <cell r="D1783" t="str">
            <v>PACIFIC ISLANDS-OPERATING EARNINGS, M$</v>
          </cell>
          <cell r="E1783">
            <v>1.7492399999999999</v>
          </cell>
          <cell r="F1783">
            <v>0.17179999999999998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2.5714399999999999</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1.4149099999999999</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1.3035999999999999</v>
          </cell>
          <cell r="F1799">
            <v>0.29600000000000004</v>
          </cell>
          <cell r="G1799">
            <v>1.0000000000000001E-5</v>
          </cell>
          <cell r="H1799">
            <v>1.0000000000000001E-5</v>
          </cell>
          <cell r="I1799">
            <v>1.0000000000000001E-5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1.3178092399999997</v>
          </cell>
          <cell r="F1801">
            <v>0.2992264</v>
          </cell>
          <cell r="G1801">
            <v>1.0108999999999999E-5</v>
          </cell>
          <cell r="H1801">
            <v>1.0108999999999999E-5</v>
          </cell>
          <cell r="I1801">
            <v>1.0108999999999999E-5</v>
          </cell>
        </row>
        <row r="1802">
          <cell r="D1802" t="str">
            <v>PACIFIC ISLANDS-CASH OPEX, NOMINAL, M$</v>
          </cell>
          <cell r="E1802">
            <v>1.3035999999999999</v>
          </cell>
          <cell r="F1802">
            <v>0.29600000000000004</v>
          </cell>
          <cell r="G1802">
            <v>1.0000000000000001E-5</v>
          </cell>
          <cell r="H1802">
            <v>1.0000000000000001E-5</v>
          </cell>
          <cell r="I1802">
            <v>1.0000000000000001E-5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-0.38980000000000009</v>
          </cell>
          <cell r="F1806">
            <v>0</v>
          </cell>
          <cell r="G1806">
            <v>0</v>
          </cell>
          <cell r="H1806">
            <v>0</v>
          </cell>
          <cell r="I1806">
            <v>0</v>
          </cell>
        </row>
        <row r="1807">
          <cell r="D1807" t="str">
            <v>PAKISTAN-OPERATING EARNINGS, M$</v>
          </cell>
          <cell r="E1807">
            <v>-0.38980000000000009</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4.3499400000000001</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0.34200000000000003</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2.9165999999999999</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2.4598089171974524</v>
          </cell>
          <cell r="F1825">
            <v>0</v>
          </cell>
          <cell r="G1825">
            <v>0</v>
          </cell>
          <cell r="H1825">
            <v>0</v>
          </cell>
          <cell r="I1825">
            <v>0</v>
          </cell>
        </row>
        <row r="1826">
          <cell r="D1826" t="str">
            <v>PAKISTAN-CASH OPEX, NOMINAL, M$</v>
          </cell>
          <cell r="E1826">
            <v>2.5745999999999998</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-1.1960166271763533</v>
          </cell>
          <cell r="F1830">
            <v>1.9847248633921771E-2</v>
          </cell>
          <cell r="G1830">
            <v>4.0686000000000368E-4</v>
          </cell>
          <cell r="H1830">
            <v>-2.6964261457568389E-2</v>
          </cell>
          <cell r="I1830">
            <v>-4.0000000000000001E-3</v>
          </cell>
        </row>
        <row r="1831">
          <cell r="D1831" t="str">
            <v>PHILIPPINES-OPERATING EARNINGS, M$</v>
          </cell>
          <cell r="E1831">
            <v>-1.1960166271763533</v>
          </cell>
          <cell r="F1831">
            <v>1.9847248633921771E-2</v>
          </cell>
          <cell r="G1831">
            <v>4.0686000000000368E-4</v>
          </cell>
          <cell r="H1831">
            <v>-2.6964261457568389E-2</v>
          </cell>
          <cell r="I1831">
            <v>-4.0000000000000001E-3</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11.218249500000001</v>
          </cell>
          <cell r="F1836">
            <v>0.45400000000000001</v>
          </cell>
          <cell r="G1836">
            <v>0.3</v>
          </cell>
          <cell r="H1836">
            <v>0.32150000000000001</v>
          </cell>
          <cell r="I1836">
            <v>0</v>
          </cell>
        </row>
        <row r="1837">
          <cell r="D1837" t="str">
            <v>PHILIPPINES-CAPITAL EMPLOYED - YE, M$</v>
          </cell>
          <cell r="E1837">
            <v>8.3000000000000007</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0.93669000000000002</v>
          </cell>
          <cell r="F1844">
            <v>8.9999999999999993E-3</v>
          </cell>
          <cell r="G1844">
            <v>0</v>
          </cell>
          <cell r="H1844">
            <v>2.5999999999999999E-2</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3.7139166271763533</v>
          </cell>
          <cell r="F1847">
            <v>0.34313275136607824</v>
          </cell>
          <cell r="G1847">
            <v>3.5931399999999999E-3</v>
          </cell>
          <cell r="H1847">
            <v>0.17008426145756839</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3.5677206513995348</v>
          </cell>
          <cell r="F1849">
            <v>0.34996769927248139</v>
          </cell>
          <cell r="G1849">
            <v>3.69415035168E-3</v>
          </cell>
          <cell r="H1849">
            <v>0.17486567021566354</v>
          </cell>
          <cell r="I1849">
            <v>0</v>
          </cell>
        </row>
        <row r="1850">
          <cell r="D1850" t="str">
            <v>PHILIPPINES-CASH OPEX, NOMINAL, M$</v>
          </cell>
          <cell r="E1850">
            <v>3.5139166271763531</v>
          </cell>
          <cell r="F1850">
            <v>0.34313275136607824</v>
          </cell>
          <cell r="G1850">
            <v>3.5931399999999999E-3</v>
          </cell>
          <cell r="H1850">
            <v>0.17008426145756839</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5.9659399999999998</v>
          </cell>
          <cell r="F1854">
            <v>4.1796596642059365</v>
          </cell>
          <cell r="G1854">
            <v>0.17695973595633308</v>
          </cell>
          <cell r="H1854">
            <v>1.006229</v>
          </cell>
          <cell r="I1854">
            <v>4.3658999999999999</v>
          </cell>
        </row>
        <row r="1855">
          <cell r="D1855" t="str">
            <v>SINGAPORE-OPERATING EARNINGS, M$</v>
          </cell>
          <cell r="E1855">
            <v>6.1879400000000002</v>
          </cell>
          <cell r="F1855">
            <v>4.7851076642059365</v>
          </cell>
          <cell r="G1855">
            <v>0.13017573595633308</v>
          </cell>
          <cell r="H1855">
            <v>1.040943</v>
          </cell>
          <cell r="I1855">
            <v>4.3658999999999999</v>
          </cell>
        </row>
        <row r="1856">
          <cell r="D1856" t="str">
            <v>SINGAPORE-LIFO EARNINGS, M$</v>
          </cell>
          <cell r="E1856">
            <v>0</v>
          </cell>
          <cell r="F1856">
            <v>0</v>
          </cell>
          <cell r="G1856">
            <v>0</v>
          </cell>
          <cell r="H1856">
            <v>0</v>
          </cell>
          <cell r="I1856">
            <v>0</v>
          </cell>
        </row>
        <row r="1857">
          <cell r="D1857" t="str">
            <v>SINGAPORE-OTHER EARNINGS EVENTS, M$</v>
          </cell>
          <cell r="E1857">
            <v>-0.22200000000000003</v>
          </cell>
          <cell r="F1857">
            <v>-0.6054480000000001</v>
          </cell>
          <cell r="G1857">
            <v>4.6783999999999999E-2</v>
          </cell>
          <cell r="H1857">
            <v>-3.4714000000000002E-2</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17.873000000000001</v>
          </cell>
          <cell r="F1860">
            <v>9.0325000000000006</v>
          </cell>
          <cell r="G1860">
            <v>-1.2375</v>
          </cell>
          <cell r="H1860">
            <v>-4.3194999999999997</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0.90154710000000016</v>
          </cell>
          <cell r="F1863">
            <v>0.70014600000000005</v>
          </cell>
          <cell r="G1863">
            <v>6.5649600000000002E-2</v>
          </cell>
          <cell r="H1863">
            <v>7.8657299999999999E-2</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-4.4000000000000004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1.1280000000000001</v>
          </cell>
          <cell r="H1868">
            <v>1.9315</v>
          </cell>
          <cell r="I1868">
            <v>3.0750000000000002</v>
          </cell>
        </row>
        <row r="1869">
          <cell r="D1869" t="str">
            <v>SINGAPORE-PROP, PLANT, &amp; EQUIP - NET YE, M$</v>
          </cell>
          <cell r="E1869">
            <v>16.600000000000001</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13.619353710248525</v>
          </cell>
          <cell r="F1871">
            <v>8.3284460082694718</v>
          </cell>
          <cell r="G1871">
            <v>6.4402740046478817</v>
          </cell>
          <cell r="H1871">
            <v>1.0328812080557692</v>
          </cell>
          <cell r="I1871">
            <v>3.2756177559343018</v>
          </cell>
        </row>
        <row r="1872">
          <cell r="D1872" t="str">
            <v>SINGAPORE-TOTAL OPEX, US$ DENOM, M$</v>
          </cell>
          <cell r="E1872">
            <v>1.144712</v>
          </cell>
          <cell r="F1872">
            <v>2.0220880000000001</v>
          </cell>
          <cell r="G1872">
            <v>5.0843190000000007</v>
          </cell>
          <cell r="H1872">
            <v>0.17419099999999998</v>
          </cell>
          <cell r="I1872">
            <v>0.38005100000000003</v>
          </cell>
        </row>
        <row r="1873">
          <cell r="D1873" t="str">
            <v>SINGAPORE-CASH OPEX, FX-ADJ, M$</v>
          </cell>
          <cell r="E1873">
            <v>12.530856620390663</v>
          </cell>
          <cell r="F1873">
            <v>7.5377381219820414</v>
          </cell>
          <cell r="G1873">
            <v>6.3537810096497234</v>
          </cell>
          <cell r="H1873">
            <v>0.9416233764640991</v>
          </cell>
          <cell r="I1873">
            <v>3.2288432160307479</v>
          </cell>
        </row>
        <row r="1874">
          <cell r="D1874" t="str">
            <v>SINGAPORE-CASH OPEX, NOMINAL, M$</v>
          </cell>
          <cell r="E1874">
            <v>12.717806610248525</v>
          </cell>
          <cell r="F1874">
            <v>7.6283000082694716</v>
          </cell>
          <cell r="G1874">
            <v>6.3746244046478813</v>
          </cell>
          <cell r="H1874">
            <v>0.95422390805576918</v>
          </cell>
          <cell r="I1874">
            <v>3.2756177559343018</v>
          </cell>
        </row>
        <row r="1875">
          <cell r="D1875" t="str">
            <v>SINGAPORE-CASH OPEX, US$ DENOM, M$</v>
          </cell>
          <cell r="E1875">
            <v>1.144712</v>
          </cell>
          <cell r="F1875">
            <v>2.0220880000000001</v>
          </cell>
          <cell r="G1875">
            <v>5.0843190000000007</v>
          </cell>
          <cell r="H1875">
            <v>0.17419099999999998</v>
          </cell>
          <cell r="I1875">
            <v>0.38005100000000003</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0.25517241379310335</v>
          </cell>
          <cell r="F1877">
            <v>0.69591724137930988</v>
          </cell>
          <cell r="G1877">
            <v>-5.3774712643688376E-2</v>
          </cell>
          <cell r="H1877">
            <v>3.9901149425287344E-2</v>
          </cell>
          <cell r="I1877">
            <v>0</v>
          </cell>
        </row>
        <row r="1878">
          <cell r="D1878" t="str">
            <v>TAIWAN-SEGMENT EARNINGS, M$</v>
          </cell>
          <cell r="E1878">
            <v>2.0190000000000001</v>
          </cell>
          <cell r="F1878">
            <v>1.25</v>
          </cell>
          <cell r="G1878">
            <v>0</v>
          </cell>
          <cell r="H1878">
            <v>0.21</v>
          </cell>
          <cell r="I1878">
            <v>0</v>
          </cell>
        </row>
        <row r="1879">
          <cell r="D1879" t="str">
            <v>TAIWAN-OPERATING EARNINGS, M$</v>
          </cell>
          <cell r="E1879">
            <v>2.0190000000000001</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2.4205000000000001</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8.1999999999999993</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1.6875450000000001</v>
          </cell>
          <cell r="F1892">
            <v>0.155</v>
          </cell>
          <cell r="G1892">
            <v>0</v>
          </cell>
          <cell r="H1892">
            <v>2.0500000000000001E-2</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11.798871490204757</v>
          </cell>
          <cell r="F1895">
            <v>1.5095377007580904</v>
          </cell>
          <cell r="G1895">
            <v>0</v>
          </cell>
          <cell r="H1895">
            <v>0.55021030303715301</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10.447274819587285</v>
          </cell>
          <cell r="F1897">
            <v>1.3055050511607165</v>
          </cell>
          <cell r="G1897">
            <v>0</v>
          </cell>
          <cell r="H1897">
            <v>0.54921652444509739</v>
          </cell>
          <cell r="I1897">
            <v>0</v>
          </cell>
        </row>
        <row r="1898">
          <cell r="D1898" t="str">
            <v>TAIWAN-CASH OPEX, NOMINAL, M$</v>
          </cell>
          <cell r="E1898">
            <v>10.498871490204756</v>
          </cell>
          <cell r="F1898">
            <v>1.3095377007580904</v>
          </cell>
          <cell r="G1898">
            <v>0</v>
          </cell>
          <cell r="H1898">
            <v>0.55021030303715301</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5.3550698287458731</v>
          </cell>
          <cell r="F1902">
            <v>-0.10098278358030442</v>
          </cell>
          <cell r="G1902">
            <v>-7.3694018438436495E-2</v>
          </cell>
          <cell r="H1902">
            <v>0.32340045121896244</v>
          </cell>
          <cell r="I1902">
            <v>-1.0504878507166049E-4</v>
          </cell>
        </row>
        <row r="1903">
          <cell r="D1903" t="str">
            <v>THAILAND-OPERATING EARNINGS, M$</v>
          </cell>
          <cell r="E1903">
            <v>5.110069828745873</v>
          </cell>
          <cell r="F1903">
            <v>-0.10098278358030442</v>
          </cell>
          <cell r="G1903">
            <v>-7.3694018438436495E-2</v>
          </cell>
          <cell r="H1903">
            <v>0.32340045121896244</v>
          </cell>
          <cell r="I1903">
            <v>-1.0504878507166049E-4</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24.004984999999998</v>
          </cell>
          <cell r="F1908">
            <v>1.0449999999999999</v>
          </cell>
          <cell r="G1908">
            <v>0.13500000000000001</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1.1000000000000001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0.44500000000000001</v>
          </cell>
          <cell r="G1916">
            <v>7.4999999999999997E-2</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19.677481036118671</v>
          </cell>
          <cell r="F1919">
            <v>1.2069985602569728</v>
          </cell>
          <cell r="G1919">
            <v>0.14509442163935479</v>
          </cell>
          <cell r="H1919">
            <v>1.7032098804591331</v>
          </cell>
          <cell r="I1919">
            <v>3.7398737771646675</v>
          </cell>
        </row>
        <row r="1920">
          <cell r="D1920" t="str">
            <v>THAILAND-TOTAL OPEX, US$ DENOM, M$</v>
          </cell>
          <cell r="E1920">
            <v>6.224729913625648</v>
          </cell>
          <cell r="F1920">
            <v>0.41644116146719012</v>
          </cell>
          <cell r="G1920">
            <v>0</v>
          </cell>
          <cell r="H1920">
            <v>0.36124756622962456</v>
          </cell>
          <cell r="I1920">
            <v>0.52270629983948647</v>
          </cell>
        </row>
        <row r="1921">
          <cell r="D1921" t="str">
            <v>THAILAND-CASH OPEX, FX-ADJ, M$</v>
          </cell>
          <cell r="E1921">
            <v>18.344444878797216</v>
          </cell>
          <cell r="F1921">
            <v>1.0990282728390561</v>
          </cell>
          <cell r="G1921">
            <v>0.14404975520100494</v>
          </cell>
          <cell r="H1921">
            <v>1.5916669173539806</v>
          </cell>
          <cell r="I1921">
            <v>3.5143870128272328</v>
          </cell>
        </row>
        <row r="1922">
          <cell r="D1922" t="str">
            <v>THAILAND-CASH OPEX, NOMINAL, M$</v>
          </cell>
          <cell r="E1922">
            <v>18.477481036118672</v>
          </cell>
          <cell r="F1922">
            <v>1.1069985602569727</v>
          </cell>
          <cell r="G1922">
            <v>0.14509442163935479</v>
          </cell>
          <cell r="H1922">
            <v>1.603209880459133</v>
          </cell>
          <cell r="I1922">
            <v>3.5398737771646673</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-0.36512269363392408</v>
          </cell>
          <cell r="F1925">
            <v>0</v>
          </cell>
          <cell r="G1925">
            <v>0</v>
          </cell>
          <cell r="H1925">
            <v>0</v>
          </cell>
          <cell r="I1925">
            <v>0</v>
          </cell>
        </row>
        <row r="1926">
          <cell r="D1926" t="str">
            <v>VIETNAM-SEGMENT EARNINGS, M$</v>
          </cell>
          <cell r="E1926">
            <v>0.48778489692659222</v>
          </cell>
          <cell r="F1926">
            <v>5.4795149029579333E-2</v>
          </cell>
          <cell r="G1926">
            <v>0</v>
          </cell>
          <cell r="H1926">
            <v>1.9912953034991712E-2</v>
          </cell>
          <cell r="I1926">
            <v>0.27897591097839247</v>
          </cell>
        </row>
        <row r="1927">
          <cell r="D1927" t="str">
            <v>VIETNAM-OPERATING EARNINGS, M$</v>
          </cell>
          <cell r="E1927">
            <v>0.48778489692659222</v>
          </cell>
          <cell r="F1927">
            <v>5.4795149029579333E-2</v>
          </cell>
          <cell r="G1927">
            <v>0</v>
          </cell>
          <cell r="H1927">
            <v>1.9912953034991712E-2</v>
          </cell>
          <cell r="I1927">
            <v>0.27897591097839247</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7.1880649999999999</v>
          </cell>
          <cell r="F1932">
            <v>0.50873250000000003</v>
          </cell>
          <cell r="G1932">
            <v>0</v>
          </cell>
          <cell r="H1932">
            <v>3.9947500000000004E-2</v>
          </cell>
          <cell r="I1932">
            <v>0.87415999999999983</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0.23468074471496891</v>
          </cell>
          <cell r="F1935">
            <v>3.5142864688565048E-2</v>
          </cell>
          <cell r="G1935">
            <v>0</v>
          </cell>
          <cell r="H1935">
            <v>2.9945674317359778E-3</v>
          </cell>
          <cell r="I1935">
            <v>4.8408013737358736E-2</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1.8225227379252649</v>
          </cell>
          <cell r="F1943">
            <v>0.35516000721250357</v>
          </cell>
          <cell r="G1943">
            <v>0</v>
          </cell>
          <cell r="H1943">
            <v>5.3071133924843736E-2</v>
          </cell>
          <cell r="I1943">
            <v>0.31893098334261127</v>
          </cell>
        </row>
        <row r="1944">
          <cell r="D1944" t="str">
            <v>VIETNAM-TOTAL OPEX, US$ DENOM, M$</v>
          </cell>
          <cell r="E1944">
            <v>0</v>
          </cell>
          <cell r="F1944">
            <v>0</v>
          </cell>
          <cell r="G1944">
            <v>0</v>
          </cell>
          <cell r="H1944">
            <v>0</v>
          </cell>
          <cell r="I1944">
            <v>0</v>
          </cell>
        </row>
        <row r="1945">
          <cell r="D1945" t="str">
            <v>VIETNAM-CASH OPEX, FX-ADJ, M$</v>
          </cell>
          <cell r="E1945">
            <v>1.5961049217040455</v>
          </cell>
          <cell r="F1945">
            <v>0.32168247117550242</v>
          </cell>
          <cell r="G1945">
            <v>0</v>
          </cell>
          <cell r="H1945">
            <v>5.03371585985656E-2</v>
          </cell>
          <cell r="I1945">
            <v>0.27193073685370878</v>
          </cell>
        </row>
        <row r="1946">
          <cell r="D1946" t="str">
            <v>VIETNAM-CASH OPEX, NOMINAL, M$</v>
          </cell>
          <cell r="E1946">
            <v>1.5878419932102958</v>
          </cell>
          <cell r="F1946">
            <v>0.32001714252393854</v>
          </cell>
          <cell r="G1946">
            <v>0</v>
          </cell>
          <cell r="H1946">
            <v>5.0076566493107759E-2</v>
          </cell>
          <cell r="I1946">
            <v>0.27052296960525252</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0.40000959999999997</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3.9999999999999998E-7</v>
          </cell>
          <cell r="F2015">
            <v>1.9999999999999999E-7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3.9999999999999998E-7</v>
          </cell>
          <cell r="F2017">
            <v>1.9999999999999999E-7</v>
          </cell>
          <cell r="G2017">
            <v>0</v>
          </cell>
          <cell r="H2017">
            <v>0</v>
          </cell>
          <cell r="I2017">
            <v>0</v>
          </cell>
        </row>
        <row r="2018">
          <cell r="D2018" t="str">
            <v>ASIA-PACIFIC ADJ-CASH OPEX, NOMINAL, M$</v>
          </cell>
          <cell r="E2018">
            <v>3.9999999999999998E-7</v>
          </cell>
          <cell r="F2018">
            <v>1.9999999999999999E-7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33.958125000000003</v>
          </cell>
          <cell r="F2028">
            <v>1.4215</v>
          </cell>
          <cell r="G2028">
            <v>0.05</v>
          </cell>
          <cell r="H2028">
            <v>0.60299999999999998</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29.369790000000002</v>
          </cell>
          <cell r="F2036">
            <v>1.2715000000000001</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1.1000000000000001</v>
          </cell>
          <cell r="H2052">
            <v>1.1000000000000001</v>
          </cell>
          <cell r="I2052">
            <v>0</v>
          </cell>
        </row>
        <row r="2053">
          <cell r="D2053" t="str">
            <v>GLOBAL ADJ-CAPITAL EMPLOYED - YE, M$</v>
          </cell>
          <cell r="E2053">
            <v>-0.1</v>
          </cell>
          <cell r="F2053">
            <v>0</v>
          </cell>
          <cell r="G2053">
            <v>2.2000000000000002</v>
          </cell>
          <cell r="H2053">
            <v>2.2000000000000002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2.2000000000000002</v>
          </cell>
          <cell r="H2057">
            <v>2.2000000000000002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416711.38250000001</v>
          </cell>
          <cell r="F3">
            <v>500000</v>
          </cell>
          <cell r="G3">
            <v>500000</v>
          </cell>
        </row>
        <row r="4">
          <cell r="A4" t="str">
            <v>SADANA</v>
          </cell>
          <cell r="B4">
            <v>8171562.2199999988</v>
          </cell>
          <cell r="C4">
            <v>6000000</v>
          </cell>
          <cell r="D4" t="str">
            <v>ASSISTANT MANAGER</v>
          </cell>
          <cell r="E4">
            <v>680963.5183333332</v>
          </cell>
          <cell r="F4">
            <v>500000</v>
          </cell>
          <cell r="G4">
            <v>500000</v>
          </cell>
        </row>
        <row r="5">
          <cell r="A5" t="str">
            <v>DAISY</v>
          </cell>
          <cell r="B5">
            <v>1131132.33</v>
          </cell>
          <cell r="C5">
            <v>1800000</v>
          </cell>
          <cell r="D5" t="str">
            <v>JUNIOR EXECUTIVE</v>
          </cell>
          <cell r="E5">
            <v>94261.027500000011</v>
          </cell>
          <cell r="F5">
            <v>175000</v>
          </cell>
          <cell r="G5">
            <v>200000</v>
          </cell>
        </row>
        <row r="6">
          <cell r="A6" t="str">
            <v>GOWRI</v>
          </cell>
          <cell r="B6">
            <v>1185100.8799999999</v>
          </cell>
          <cell r="C6">
            <v>1200000</v>
          </cell>
          <cell r="D6" t="str">
            <v>JUNIOR EXECUTIVE</v>
          </cell>
          <cell r="E6">
            <v>98758.406666666662</v>
          </cell>
          <cell r="F6">
            <v>100000</v>
          </cell>
          <cell r="G6">
            <v>100000</v>
          </cell>
        </row>
        <row r="7">
          <cell r="A7" t="str">
            <v>LAKSHANI</v>
          </cell>
          <cell r="B7">
            <v>3616368.82</v>
          </cell>
          <cell r="C7">
            <v>2100000</v>
          </cell>
          <cell r="D7" t="str">
            <v>JUNIOR EXECUTIVE</v>
          </cell>
          <cell r="E7">
            <v>301364.0683333333</v>
          </cell>
          <cell r="F7">
            <v>175000</v>
          </cell>
          <cell r="G7">
            <v>200000</v>
          </cell>
        </row>
        <row r="8">
          <cell r="A8" t="str">
            <v>MARYAN</v>
          </cell>
          <cell r="B8">
            <v>3039174.83</v>
          </cell>
          <cell r="C8">
            <v>2100000</v>
          </cell>
          <cell r="D8" t="str">
            <v>JUNIOR EXECUTIVE</v>
          </cell>
          <cell r="E8">
            <v>253264.56916666668</v>
          </cell>
          <cell r="F8">
            <v>175000</v>
          </cell>
          <cell r="G8">
            <v>200000</v>
          </cell>
        </row>
        <row r="9">
          <cell r="A9" t="str">
            <v>SACHINI</v>
          </cell>
          <cell r="B9">
            <v>1783289.41</v>
          </cell>
          <cell r="C9">
            <v>2100000</v>
          </cell>
          <cell r="D9" t="str">
            <v>JUNIOR EXECUTIVE</v>
          </cell>
          <cell r="E9">
            <v>148607.45083333334</v>
          </cell>
          <cell r="F9">
            <v>175000</v>
          </cell>
          <cell r="G9">
            <v>200000</v>
          </cell>
        </row>
        <row r="10">
          <cell r="A10" t="str">
            <v>SAMARA</v>
          </cell>
          <cell r="B10">
            <v>3251038.9299999997</v>
          </cell>
          <cell r="C10">
            <v>2100000</v>
          </cell>
          <cell r="D10" t="str">
            <v>JUNIOR EXECUTIVE</v>
          </cell>
          <cell r="E10">
            <v>270919.91083333333</v>
          </cell>
          <cell r="F10">
            <v>175000</v>
          </cell>
          <cell r="G10">
            <v>200000</v>
          </cell>
        </row>
        <row r="11">
          <cell r="A11" t="str">
            <v>YOHAN</v>
          </cell>
          <cell r="B11">
            <v>1062895.76</v>
          </cell>
          <cell r="C11">
            <v>1200000</v>
          </cell>
          <cell r="D11" t="str">
            <v>JUNIOR EXECUTIVE</v>
          </cell>
          <cell r="E11">
            <v>88574.646666666667</v>
          </cell>
          <cell r="F11">
            <v>100000</v>
          </cell>
          <cell r="G11">
            <v>100000</v>
          </cell>
        </row>
        <row r="12">
          <cell r="A12" t="str">
            <v>AMANDA</v>
          </cell>
          <cell r="B12">
            <v>4297775.0199999996</v>
          </cell>
          <cell r="C12">
            <v>3600000</v>
          </cell>
          <cell r="D12" t="str">
            <v>SENIOR EXECUTIVE</v>
          </cell>
          <cell r="E12">
            <v>358147.91833333328</v>
          </cell>
          <cell r="F12">
            <v>300000</v>
          </cell>
          <cell r="G12">
            <v>325000</v>
          </cell>
        </row>
        <row r="13">
          <cell r="A13" t="str">
            <v>CLIFTON</v>
          </cell>
          <cell r="B13">
            <v>2423463.98</v>
          </cell>
          <cell r="C13">
            <v>3600000</v>
          </cell>
          <cell r="D13" t="str">
            <v>SENIOR EXECUTIVE</v>
          </cell>
          <cell r="E13">
            <v>201955.33166666667</v>
          </cell>
          <cell r="F13">
            <v>300000</v>
          </cell>
          <cell r="G13">
            <v>325000</v>
          </cell>
        </row>
        <row r="14">
          <cell r="A14" t="str">
            <v>DEEHAN</v>
          </cell>
          <cell r="B14">
            <v>3105142.04</v>
          </cell>
          <cell r="C14">
            <v>3600000</v>
          </cell>
          <cell r="D14" t="str">
            <v>SENIOR EXECUTIVE</v>
          </cell>
          <cell r="E14">
            <v>258761.83666666667</v>
          </cell>
          <cell r="F14">
            <v>300000</v>
          </cell>
          <cell r="G14">
            <v>325000</v>
          </cell>
        </row>
        <row r="15">
          <cell r="A15" t="str">
            <v>SHERIN</v>
          </cell>
          <cell r="B15">
            <v>2745316.55</v>
          </cell>
          <cell r="C15">
            <v>3600000</v>
          </cell>
          <cell r="D15" t="str">
            <v>SENIOR EXECUTIVE</v>
          </cell>
          <cell r="E15">
            <v>228776.37916666665</v>
          </cell>
          <cell r="F15">
            <v>300000</v>
          </cell>
          <cell r="G15">
            <v>325000</v>
          </cell>
        </row>
        <row r="16">
          <cell r="A16" t="str">
            <v>SUJITH</v>
          </cell>
          <cell r="B16">
            <v>592015.35999999999</v>
          </cell>
          <cell r="C16">
            <v>600000</v>
          </cell>
          <cell r="D16" t="str">
            <v>SENIOR EXECUTIVE</v>
          </cell>
          <cell r="E16">
            <v>49334.613333333335</v>
          </cell>
          <cell r="F16">
            <v>50000</v>
          </cell>
          <cell r="G16">
            <v>50000</v>
          </cell>
        </row>
        <row r="17">
          <cell r="A17" t="str">
            <v>CARMEN</v>
          </cell>
          <cell r="B17">
            <v>4556749.8</v>
          </cell>
          <cell r="C17">
            <v>3000000</v>
          </cell>
          <cell r="D17" t="str">
            <v>SENIOR TOUR EXECUTIVE</v>
          </cell>
          <cell r="E17">
            <v>379729.14999999997</v>
          </cell>
          <cell r="F17">
            <v>250000</v>
          </cell>
          <cell r="G17">
            <v>325000</v>
          </cell>
        </row>
        <row r="18">
          <cell r="A18" t="str">
            <v>PASANGI</v>
          </cell>
          <cell r="B18">
            <v>3269407</v>
          </cell>
          <cell r="C18">
            <v>3000000</v>
          </cell>
          <cell r="D18" t="str">
            <v>SENIOR TOUR EXECUTIVE</v>
          </cell>
          <cell r="E18">
            <v>272450.58333333331</v>
          </cell>
          <cell r="F18">
            <v>250000</v>
          </cell>
          <cell r="G18">
            <v>325000</v>
          </cell>
        </row>
        <row r="19">
          <cell r="A19" t="str">
            <v>DILUSHINI</v>
          </cell>
          <cell r="B19">
            <v>5750304.1699999999</v>
          </cell>
          <cell r="C19">
            <v>4800000</v>
          </cell>
          <cell r="D19" t="str">
            <v>ASSISTANT MANAGER</v>
          </cell>
          <cell r="E19">
            <v>479192.01416666666</v>
          </cell>
          <cell r="F19">
            <v>400000</v>
          </cell>
          <cell r="G19">
            <v>500000</v>
          </cell>
        </row>
        <row r="20">
          <cell r="A20" t="str">
            <v>GITHENDRA</v>
          </cell>
          <cell r="B20">
            <v>4009504.9599999995</v>
          </cell>
          <cell r="C20">
            <v>4800000</v>
          </cell>
          <cell r="D20" t="str">
            <v>SUPERVISOR</v>
          </cell>
          <cell r="E20">
            <v>334125.41333333327</v>
          </cell>
          <cell r="F20">
            <v>400000</v>
          </cell>
          <cell r="G20">
            <v>400000</v>
          </cell>
        </row>
        <row r="21">
          <cell r="A21" t="str">
            <v>INDIKA</v>
          </cell>
          <cell r="B21">
            <v>2174670.0499999998</v>
          </cell>
          <cell r="C21">
            <v>4800000</v>
          </cell>
          <cell r="D21" t="str">
            <v>SUPERVISOR</v>
          </cell>
          <cell r="E21">
            <v>181222.50416666665</v>
          </cell>
          <cell r="F21">
            <v>400000</v>
          </cell>
          <cell r="G21">
            <v>400000</v>
          </cell>
        </row>
        <row r="22">
          <cell r="A22" t="str">
            <v>PRIYANGA</v>
          </cell>
          <cell r="B22">
            <v>1750227.6099999999</v>
          </cell>
          <cell r="C22">
            <v>1200000</v>
          </cell>
          <cell r="D22" t="str">
            <v>SUPERVISOR</v>
          </cell>
          <cell r="E22">
            <v>145852.30083333331</v>
          </cell>
          <cell r="F22">
            <v>100000</v>
          </cell>
          <cell r="G22">
            <v>100000</v>
          </cell>
        </row>
        <row r="23">
          <cell r="A23" t="str">
            <v>DILRUKSHI</v>
          </cell>
          <cell r="B23">
            <v>784401.46</v>
          </cell>
          <cell r="C23">
            <v>600000</v>
          </cell>
          <cell r="D23" t="str">
            <v>TRAINEE</v>
          </cell>
          <cell r="E23">
            <v>65366.78833333333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130042.83583333333</v>
          </cell>
          <cell r="F25">
            <v>100000</v>
          </cell>
          <cell r="G25">
            <v>125000</v>
          </cell>
        </row>
        <row r="26">
          <cell r="A26" t="str">
            <v>KANESHI</v>
          </cell>
          <cell r="B26">
            <v>687800.8</v>
          </cell>
          <cell r="C26">
            <v>900000</v>
          </cell>
          <cell r="D26" t="str">
            <v>TRAVEL ASSISTANT</v>
          </cell>
          <cell r="E26">
            <v>57316.733333333337</v>
          </cell>
          <cell r="F26">
            <v>100000</v>
          </cell>
          <cell r="G26">
            <v>100000</v>
          </cell>
        </row>
        <row r="27">
          <cell r="A27" t="str">
            <v>NISHADHYA</v>
          </cell>
          <cell r="B27">
            <v>877103.8899999999</v>
          </cell>
          <cell r="C27">
            <v>600000</v>
          </cell>
          <cell r="D27" t="str">
            <v>TRAVEL ASSISTANT</v>
          </cell>
          <cell r="E27">
            <v>73091.99083333333</v>
          </cell>
          <cell r="F27">
            <v>100000</v>
          </cell>
          <cell r="G27">
            <v>125000</v>
          </cell>
        </row>
        <row r="28">
          <cell r="A28" t="str">
            <v>SUJEEWA</v>
          </cell>
          <cell r="B28">
            <v>1221646.3400000001</v>
          </cell>
          <cell r="C28">
            <v>600000</v>
          </cell>
          <cell r="D28" t="str">
            <v>TRAVEL ASSISTANT</v>
          </cell>
          <cell r="E28">
            <v>101803.86166666668</v>
          </cell>
          <cell r="F28">
            <v>50000</v>
          </cell>
          <cell r="G28">
            <v>75000</v>
          </cell>
        </row>
        <row r="29">
          <cell r="A29" t="str">
            <v>BUDDIKKA</v>
          </cell>
          <cell r="B29">
            <v>1111887.01</v>
          </cell>
          <cell r="C29">
            <v>1200000</v>
          </cell>
          <cell r="D29" t="str">
            <v>TRAVEL EXECUTIVE</v>
          </cell>
          <cell r="E29">
            <v>92657.250833333339</v>
          </cell>
          <cell r="F29">
            <v>100000</v>
          </cell>
          <cell r="G29">
            <v>100000</v>
          </cell>
        </row>
        <row r="30">
          <cell r="A30" t="str">
            <v>RAISHMI</v>
          </cell>
          <cell r="B30">
            <v>3222820.59</v>
          </cell>
          <cell r="C30">
            <v>3000000</v>
          </cell>
          <cell r="D30" t="str">
            <v>TRAVEL EXECUTIVE</v>
          </cell>
          <cell r="E30">
            <v>268568.38250000001</v>
          </cell>
          <cell r="F30">
            <v>250000</v>
          </cell>
          <cell r="G30">
            <v>275000</v>
          </cell>
        </row>
        <row r="31">
          <cell r="A31" t="str">
            <v>RENUKA</v>
          </cell>
          <cell r="B31">
            <v>3981689.69</v>
          </cell>
          <cell r="C31">
            <v>3000000</v>
          </cell>
          <cell r="D31" t="str">
            <v>TRAVEL EXECUTIVE</v>
          </cell>
          <cell r="E31">
            <v>331807.47416666668</v>
          </cell>
          <cell r="F31">
            <v>250000</v>
          </cell>
          <cell r="G31">
            <v>275000</v>
          </cell>
        </row>
        <row r="32">
          <cell r="A32" t="str">
            <v>RIZLA</v>
          </cell>
          <cell r="B32">
            <v>3356740.27</v>
          </cell>
          <cell r="C32">
            <v>3000000</v>
          </cell>
          <cell r="D32" t="str">
            <v>TRAVEL EXECUTIVE</v>
          </cell>
          <cell r="E32">
            <v>279728.35583333333</v>
          </cell>
          <cell r="F32">
            <v>250000</v>
          </cell>
          <cell r="G32">
            <v>275000</v>
          </cell>
        </row>
        <row r="33">
          <cell r="A33" t="str">
            <v>SENAKA</v>
          </cell>
          <cell r="B33">
            <v>1488723.05</v>
          </cell>
          <cell r="C33">
            <v>3000000</v>
          </cell>
          <cell r="D33" t="str">
            <v>TRAVEL EXECUTIVE</v>
          </cell>
          <cell r="E33">
            <v>124060.25416666667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123042984.70999999</v>
          </cell>
          <cell r="C2">
            <v>176637527.25</v>
          </cell>
          <cell r="D2">
            <v>7849680.3700000001</v>
          </cell>
          <cell r="E2">
            <v>9895328.1600000001</v>
          </cell>
        </row>
        <row r="3">
          <cell r="A3" t="str">
            <v>Overall Result Total</v>
          </cell>
          <cell r="B3">
            <v>123042984.70999999</v>
          </cell>
          <cell r="C3">
            <v>176637527.25</v>
          </cell>
          <cell r="D3">
            <v>7849680.3700000001</v>
          </cell>
          <cell r="E3">
            <v>9895328.1600000001</v>
          </cell>
        </row>
        <row r="4">
          <cell r="A4" t="str">
            <v>   CONTACT CENTER</v>
          </cell>
          <cell r="B4">
            <v>8764507.9399999995</v>
          </cell>
          <cell r="C4">
            <v>10158346.09</v>
          </cell>
          <cell r="D4">
            <v>247710.15</v>
          </cell>
          <cell r="E4">
            <v>530306.18000000005</v>
          </cell>
        </row>
        <row r="5">
          <cell r="A5" t="str">
            <v>   CONTACT CENTER Total</v>
          </cell>
          <cell r="B5">
            <v>8764507.9399999995</v>
          </cell>
          <cell r="C5">
            <v>10158346.09</v>
          </cell>
          <cell r="D5">
            <v>247710.15</v>
          </cell>
          <cell r="E5">
            <v>530306.18000000005</v>
          </cell>
        </row>
        <row r="6">
          <cell r="A6" t="str">
            <v>INDIKA</v>
          </cell>
          <cell r="B6">
            <v>5387308.3099999996</v>
          </cell>
          <cell r="C6">
            <v>10158346.09</v>
          </cell>
          <cell r="D6">
            <v>202833.78</v>
          </cell>
          <cell r="E6">
            <v>530306.18000000005</v>
          </cell>
        </row>
        <row r="7">
          <cell r="A7" t="str">
            <v>INDIKA Total</v>
          </cell>
          <cell r="B7">
            <v>5387308.3099999996</v>
          </cell>
          <cell r="C7">
            <v>10158346.09</v>
          </cell>
          <cell r="D7">
            <v>202833.78</v>
          </cell>
          <cell r="E7">
            <v>530306.18000000005</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23329128.870000001</v>
          </cell>
          <cell r="C14">
            <v>44951012.57</v>
          </cell>
          <cell r="D14">
            <v>1133405.3700000001</v>
          </cell>
          <cell r="E14">
            <v>2360418.73</v>
          </cell>
        </row>
        <row r="15">
          <cell r="A15" t="str">
            <v>   Team_Anjie Total</v>
          </cell>
          <cell r="B15">
            <v>23329128.870000001</v>
          </cell>
          <cell r="C15">
            <v>44951012.57</v>
          </cell>
          <cell r="D15">
            <v>1133405.3700000001</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11888310.970000001</v>
          </cell>
          <cell r="D18">
            <v>782671.63</v>
          </cell>
        </row>
        <row r="19">
          <cell r="A19" t="str">
            <v>SADANA Total</v>
          </cell>
          <cell r="B19">
            <v>11888310.970000001</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142797.89000000001</v>
          </cell>
        </row>
        <row r="27">
          <cell r="A27" t="str">
            <v>VINODH Total</v>
          </cell>
          <cell r="B27">
            <v>2112457</v>
          </cell>
          <cell r="C27">
            <v>0</v>
          </cell>
          <cell r="D27">
            <v>142797.89000000001</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2284030.5499999998</v>
          </cell>
          <cell r="E30">
            <v>2201899.98</v>
          </cell>
        </row>
        <row r="31">
          <cell r="A31" t="str">
            <v>   Team_Jackie Total</v>
          </cell>
          <cell r="B31">
            <v>19198720.73</v>
          </cell>
          <cell r="C31">
            <v>16603106.32</v>
          </cell>
          <cell r="D31">
            <v>2284030.5499999998</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131882.89000000001</v>
          </cell>
        </row>
        <row r="41">
          <cell r="A41" t="str">
            <v>NISHADHYA Total</v>
          </cell>
          <cell r="B41">
            <v>836866.11</v>
          </cell>
          <cell r="C41">
            <v>0</v>
          </cell>
          <cell r="D41">
            <v>131882.89000000001</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17501.150000000001</v>
          </cell>
        </row>
        <row r="47">
          <cell r="A47" t="str">
            <v>JASON Total</v>
          </cell>
          <cell r="B47">
            <v>470622.15</v>
          </cell>
          <cell r="C47">
            <v>0</v>
          </cell>
          <cell r="D47">
            <v>17501.150000000001</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51762124.590000004</v>
          </cell>
          <cell r="D50">
            <v>2504968.89</v>
          </cell>
          <cell r="E50">
            <v>2683262.59</v>
          </cell>
        </row>
        <row r="51">
          <cell r="A51" t="str">
            <v>   Team_HRG Total</v>
          </cell>
          <cell r="B51">
            <v>26615424.48</v>
          </cell>
          <cell r="C51">
            <v>51762124.590000004</v>
          </cell>
          <cell r="D51">
            <v>2504968.89</v>
          </cell>
          <cell r="E51">
            <v>2683262.59</v>
          </cell>
        </row>
        <row r="52">
          <cell r="A52" t="str">
            <v>RAJ J</v>
          </cell>
          <cell r="B52">
            <v>0</v>
          </cell>
          <cell r="C52">
            <v>51762124.590000004</v>
          </cell>
          <cell r="D52">
            <v>0</v>
          </cell>
          <cell r="E52">
            <v>2683262.59</v>
          </cell>
        </row>
        <row r="53">
          <cell r="A53" t="str">
            <v>RAJ J Total</v>
          </cell>
          <cell r="B53">
            <v>0</v>
          </cell>
          <cell r="C53">
            <v>51762124.590000004</v>
          </cell>
          <cell r="D53">
            <v>0</v>
          </cell>
          <cell r="E53">
            <v>2683262.59</v>
          </cell>
        </row>
        <row r="54">
          <cell r="A54" t="str">
            <v>DILUSHINI</v>
          </cell>
          <cell r="B54">
            <v>8271400.4800000004</v>
          </cell>
          <cell r="D54">
            <v>834017.02</v>
          </cell>
        </row>
        <row r="55">
          <cell r="A55" t="str">
            <v>DILUSHINI Total</v>
          </cell>
          <cell r="B55">
            <v>8271400.4800000004</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8498456.1099999994</v>
          </cell>
          <cell r="C86">
            <v>12344887.5</v>
          </cell>
          <cell r="D86">
            <v>300855.89</v>
          </cell>
          <cell r="E86">
            <v>611927.91</v>
          </cell>
        </row>
        <row r="87">
          <cell r="A87" t="str">
            <v>   Team Rapthi Corporat Total</v>
          </cell>
          <cell r="B87">
            <v>8498456.1099999994</v>
          </cell>
          <cell r="C87">
            <v>12344887.5</v>
          </cell>
          <cell r="D87">
            <v>300855.89</v>
          </cell>
          <cell r="E87">
            <v>611927.91</v>
          </cell>
        </row>
        <row r="88">
          <cell r="A88" t="str">
            <v>AMANDA</v>
          </cell>
          <cell r="B88">
            <v>8530081.1099999994</v>
          </cell>
          <cell r="C88">
            <v>12344887.5</v>
          </cell>
          <cell r="D88">
            <v>300855.89</v>
          </cell>
          <cell r="E88">
            <v>611927.91</v>
          </cell>
        </row>
        <row r="89">
          <cell r="A89" t="str">
            <v>AMANDA Total</v>
          </cell>
          <cell r="B89">
            <v>8530081.1099999994</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22642678.579999998</v>
          </cell>
          <cell r="C92">
            <v>16574450.18</v>
          </cell>
          <cell r="D92">
            <v>968011.52</v>
          </cell>
          <cell r="E92">
            <v>889242.77</v>
          </cell>
        </row>
        <row r="93">
          <cell r="A93" t="str">
            <v>   Team Jackie Corporat Total</v>
          </cell>
          <cell r="B93">
            <v>22642678.579999998</v>
          </cell>
          <cell r="C93">
            <v>16574450.18</v>
          </cell>
          <cell r="D93">
            <v>968011.52</v>
          </cell>
          <cell r="E93">
            <v>889242.77</v>
          </cell>
        </row>
        <row r="94">
          <cell r="A94" t="str">
            <v>GITHENDRA</v>
          </cell>
          <cell r="B94">
            <v>8666067.6300000008</v>
          </cell>
          <cell r="C94">
            <v>16574450.18</v>
          </cell>
          <cell r="D94">
            <v>423780.47</v>
          </cell>
          <cell r="E94">
            <v>889242.77</v>
          </cell>
        </row>
        <row r="95">
          <cell r="A95" t="str">
            <v>GITHENDRA Total</v>
          </cell>
          <cell r="B95">
            <v>8666067.6300000008</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23549041.109999999</v>
          </cell>
          <cell r="E104">
            <v>29685984.48</v>
          </cell>
        </row>
        <row r="132">
          <cell r="B132">
            <v>123042984.70999999</v>
          </cell>
          <cell r="C132">
            <v>176637527.25</v>
          </cell>
          <cell r="D132">
            <v>7849680.3700000001</v>
          </cell>
          <cell r="E132">
            <v>9895328.1600000001</v>
          </cell>
        </row>
        <row r="133">
          <cell r="B133">
            <v>0</v>
          </cell>
          <cell r="C133">
            <v>0</v>
          </cell>
          <cell r="D133">
            <v>0</v>
          </cell>
          <cell r="E133">
            <v>0</v>
          </cell>
        </row>
      </sheetData>
      <sheetData sheetId="5">
        <row r="7">
          <cell r="D7">
            <v>62941464.659999996</v>
          </cell>
        </row>
      </sheetData>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166324.17000000001</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134016.42000000001</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158348.35999999999</v>
          </cell>
          <cell r="C15">
            <v>269341.28000000003</v>
          </cell>
        </row>
        <row r="16">
          <cell r="A16" t="str">
            <v>Tanabe</v>
          </cell>
          <cell r="B16">
            <v>6322.44</v>
          </cell>
          <cell r="C16">
            <v>7655</v>
          </cell>
        </row>
        <row r="17">
          <cell r="A17" t="str">
            <v>Terumo</v>
          </cell>
          <cell r="B17">
            <v>16469.13</v>
          </cell>
          <cell r="C17">
            <v>20805.599999999999</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16373356.069999998</v>
          </cell>
          <cell r="C20">
            <v>20554940.970000003</v>
          </cell>
        </row>
        <row r="21">
          <cell r="B21">
            <v>11547407.010000002</v>
          </cell>
          <cell r="C21">
            <v>13379864.800000001</v>
          </cell>
        </row>
        <row r="22">
          <cell r="B22">
            <v>19500431.080000002</v>
          </cell>
          <cell r="C22">
            <v>22714688.539999999</v>
          </cell>
        </row>
        <row r="24">
          <cell r="B24" t="str">
            <v>cost</v>
          </cell>
          <cell r="C24" t="str">
            <v>sales</v>
          </cell>
        </row>
        <row r="26">
          <cell r="B26">
            <v>5009963.9400000004</v>
          </cell>
          <cell r="C26">
            <v>5671856.5199999996</v>
          </cell>
        </row>
        <row r="27">
          <cell r="B27">
            <v>0</v>
          </cell>
          <cell r="C27">
            <v>0</v>
          </cell>
        </row>
        <row r="28">
          <cell r="B28" t="str">
            <v>cost</v>
          </cell>
          <cell r="C28" t="str">
            <v>sales</v>
          </cell>
        </row>
        <row r="29">
          <cell r="B29">
            <v>2679648.5299999998</v>
          </cell>
          <cell r="C29">
            <v>2993277.8</v>
          </cell>
        </row>
        <row r="30">
          <cell r="B30">
            <v>16373356.069999998</v>
          </cell>
          <cell r="C30">
            <v>20554940.970000003</v>
          </cell>
        </row>
        <row r="31">
          <cell r="B31">
            <v>16373356.069999998</v>
          </cell>
          <cell r="C31">
            <v>20554940.970000003</v>
          </cell>
        </row>
        <row r="32">
          <cell r="B32">
            <v>16373356.069999998</v>
          </cell>
          <cell r="C32">
            <v>20554940.970000003</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1288909.6499999999</v>
          </cell>
          <cell r="G11">
            <v>185111.31</v>
          </cell>
          <cell r="H11">
            <v>0</v>
          </cell>
          <cell r="I11">
            <v>5471158.1799999997</v>
          </cell>
        </row>
        <row r="12">
          <cell r="A12" t="str">
            <v>DB006</v>
          </cell>
          <cell r="B12" t="str">
            <v>Vijitha Pharmacy</v>
          </cell>
          <cell r="C12">
            <v>3885886.5999999996</v>
          </cell>
          <cell r="D12">
            <v>592000.68000000005</v>
          </cell>
          <cell r="E12">
            <v>0</v>
          </cell>
          <cell r="F12">
            <v>868352.77</v>
          </cell>
          <cell r="G12">
            <v>0</v>
          </cell>
          <cell r="H12">
            <v>0</v>
          </cell>
          <cell r="I12">
            <v>5346240.0499999989</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9476383.5399999972</v>
          </cell>
          <cell r="D14">
            <v>709335.8</v>
          </cell>
          <cell r="E14">
            <v>0</v>
          </cell>
          <cell r="F14">
            <v>0</v>
          </cell>
          <cell r="G14">
            <v>0</v>
          </cell>
          <cell r="H14">
            <v>0</v>
          </cell>
          <cell r="I14">
            <v>10185719.339999998</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1050483.6000000001</v>
          </cell>
          <cell r="D18">
            <v>0</v>
          </cell>
          <cell r="E18">
            <v>0</v>
          </cell>
          <cell r="F18">
            <v>0</v>
          </cell>
          <cell r="G18">
            <v>0</v>
          </cell>
          <cell r="H18">
            <v>0</v>
          </cell>
          <cell r="I18">
            <v>1050483.6000000001</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4172540.3799999994</v>
          </cell>
          <cell r="D22">
            <v>1177056.5999999999</v>
          </cell>
          <cell r="E22">
            <v>89273.4</v>
          </cell>
          <cell r="F22">
            <v>1466145.42</v>
          </cell>
          <cell r="G22">
            <v>230511.96</v>
          </cell>
          <cell r="H22">
            <v>0</v>
          </cell>
          <cell r="I22">
            <v>7135527.7599999998</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4474314.3599999994</v>
          </cell>
          <cell r="D24">
            <v>142539.48000000001</v>
          </cell>
          <cell r="E24">
            <v>22285.88</v>
          </cell>
          <cell r="F24">
            <v>0</v>
          </cell>
          <cell r="G24">
            <v>549713.01</v>
          </cell>
          <cell r="H24">
            <v>69799.67</v>
          </cell>
          <cell r="I24">
            <v>5258652.3999999994</v>
          </cell>
        </row>
        <row r="25">
          <cell r="A25" t="str">
            <v>DB019</v>
          </cell>
          <cell r="B25" t="str">
            <v>Glenic Distributors,</v>
          </cell>
          <cell r="C25">
            <v>659210.60999999987</v>
          </cell>
          <cell r="D25">
            <v>640579.62</v>
          </cell>
          <cell r="E25">
            <v>0</v>
          </cell>
          <cell r="F25">
            <v>967264.11</v>
          </cell>
          <cell r="G25">
            <v>1449044.81</v>
          </cell>
          <cell r="H25">
            <v>898766.6100000001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1642412.8199999998</v>
          </cell>
          <cell r="D27">
            <v>547146.23999999999</v>
          </cell>
          <cell r="E27">
            <v>0</v>
          </cell>
          <cell r="F27">
            <v>162755.65999999997</v>
          </cell>
          <cell r="G27">
            <v>0</v>
          </cell>
          <cell r="H27">
            <v>0</v>
          </cell>
          <cell r="I27">
            <v>2352314.7199999997</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43040720.920000002</v>
          </cell>
          <cell r="D30">
            <v>4482376.62</v>
          </cell>
          <cell r="E30">
            <v>288410</v>
          </cell>
          <cell r="F30">
            <v>5828190.9199999999</v>
          </cell>
          <cell r="G30">
            <v>3533718.26</v>
          </cell>
          <cell r="H30">
            <v>996896.72000000009</v>
          </cell>
          <cell r="I30">
            <v>58170313.43999999</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4464.4000000000015</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-66.809999999999945</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22758.070000000003</v>
          </cell>
          <cell r="D52">
            <v>20466.900000000001</v>
          </cell>
          <cell r="E52">
            <v>78969.600000000006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80232.729999999981</v>
          </cell>
          <cell r="I56">
            <v>95126.829999999987</v>
          </cell>
        </row>
        <row r="57">
          <cell r="A57" t="str">
            <v>DI003</v>
          </cell>
          <cell r="B57" t="str">
            <v>Harcourts (Pvt) Ltd.</v>
          </cell>
          <cell r="C57">
            <v>497.40999999999997</v>
          </cell>
          <cell r="D57">
            <v>5061.6000000000004</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45156.600000000006</v>
          </cell>
          <cell r="D59">
            <v>12159</v>
          </cell>
          <cell r="E59">
            <v>0</v>
          </cell>
          <cell r="F59">
            <v>0</v>
          </cell>
          <cell r="G59">
            <v>0</v>
          </cell>
          <cell r="H59">
            <v>-897.58</v>
          </cell>
          <cell r="I59">
            <v>56418.020000000004</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2257.4400000000005</v>
          </cell>
          <cell r="D62">
            <v>0</v>
          </cell>
          <cell r="E62">
            <v>0</v>
          </cell>
          <cell r="F62">
            <v>0</v>
          </cell>
          <cell r="G62">
            <v>351</v>
          </cell>
          <cell r="H62">
            <v>-201.79</v>
          </cell>
          <cell r="I62">
            <v>2406.6500000000005</v>
          </cell>
        </row>
        <row r="63">
          <cell r="A63" t="str">
            <v>DI009</v>
          </cell>
          <cell r="B63" t="str">
            <v>Cargills (Ceylon) Ltd.</v>
          </cell>
          <cell r="C63">
            <v>0</v>
          </cell>
          <cell r="D63">
            <v>136029.6</v>
          </cell>
          <cell r="E63">
            <v>0</v>
          </cell>
          <cell r="F63">
            <v>0</v>
          </cell>
          <cell r="G63">
            <v>646.79999999999995</v>
          </cell>
          <cell r="H63">
            <v>-743.58000000000038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39857.990000000005</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72.630000000000109</v>
          </cell>
          <cell r="D91">
            <v>102.31999999999991</v>
          </cell>
          <cell r="E91">
            <v>2403</v>
          </cell>
          <cell r="F91">
            <v>0</v>
          </cell>
          <cell r="G91">
            <v>0</v>
          </cell>
          <cell r="H91">
            <v>4271.3999999999996</v>
          </cell>
          <cell r="I91">
            <v>6849.3499999999995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73389.600000000006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126490.52000000003</v>
          </cell>
          <cell r="D100">
            <v>232245.62000000005</v>
          </cell>
          <cell r="E100">
            <v>75442.5</v>
          </cell>
          <cell r="F100">
            <v>0</v>
          </cell>
          <cell r="G100">
            <v>7632.6</v>
          </cell>
          <cell r="H100">
            <v>100801.51999999997</v>
          </cell>
          <cell r="I100">
            <v>542612.75999999989</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44892781.310000002</v>
          </cell>
          <cell r="D109">
            <v>4735089.1400000006</v>
          </cell>
          <cell r="E109">
            <v>442822.1</v>
          </cell>
          <cell r="F109">
            <v>5839734.3200000003</v>
          </cell>
          <cell r="G109">
            <v>3550791.86</v>
          </cell>
          <cell r="H109">
            <v>1068537.23</v>
          </cell>
          <cell r="I109">
            <v>60529755.959999986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-5336325.8100000005</v>
          </cell>
        </row>
        <row r="120">
          <cell r="B120" t="str">
            <v>Total Receivable balance</v>
          </cell>
          <cell r="C120">
            <v>44892781.310000002</v>
          </cell>
          <cell r="D120">
            <v>4735089.1400000006</v>
          </cell>
          <cell r="E120">
            <v>442822.1</v>
          </cell>
          <cell r="F120">
            <v>5839734.3200000003</v>
          </cell>
          <cell r="G120">
            <v>-687730.51000000024</v>
          </cell>
          <cell r="H120">
            <v>-29266.209999999963</v>
          </cell>
          <cell r="I120">
            <v>55193430.149999984</v>
          </cell>
        </row>
        <row r="121">
          <cell r="B121" t="str">
            <v>%</v>
          </cell>
          <cell r="C121">
            <v>0.81337183045145489</v>
          </cell>
          <cell r="D121">
            <v>8.5790811100730294E-2</v>
          </cell>
          <cell r="E121">
            <v>8.0230943935996717E-3</v>
          </cell>
          <cell r="F121">
            <v>0.1058048811992527</v>
          </cell>
          <cell r="G121">
            <v>-1.2460369071662064E-2</v>
          </cell>
          <cell r="H121">
            <v>-5.3024807337508756E-4</v>
          </cell>
          <cell r="I121">
            <v>1</v>
          </cell>
        </row>
      </sheetData>
      <sheetData sheetId="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Name val="TOUR SCH"/>
      <sheetName val="Sheet1"/>
      <sheetName val="28 Feb"/>
      <sheetName val="Report with Pending"/>
      <sheetName val="Despatch"/>
      <sheetName val="FG Summery"/>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9280.0499999999993</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ew- Summery "/>
      <sheetName val="Income Statement"/>
      <sheetName val="Sheet4"/>
      <sheetName val="Trend - IS"/>
      <sheetName val="MTD Revenue"/>
      <sheetName val="BS"/>
      <sheetName val="Debtors Aging July"/>
      <sheetName val="Debtors Aging"/>
      <sheetName val="Onboard List"/>
      <sheetName val="Onboard List July24"/>
      <sheetName val="Debtors Aging Mar"/>
      <sheetName val="Onboard List 01"/>
      <sheetName val="Balance Sheet - Mar"/>
      <sheetName val="Budget Detail P&amp;L"/>
      <sheetName val="Sales Quantity Breakdown - Budg"/>
    </sheetNames>
    <sheetDataSet>
      <sheetData sheetId="0"/>
      <sheetData sheetId="1">
        <row r="17">
          <cell r="J17">
            <v>2363155.48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elines"/>
      <sheetName val="Budget Assumptions "/>
      <sheetName val="Sheet1"/>
      <sheetName val="Summary Analysis"/>
      <sheetName val="Historical Trend"/>
      <sheetName val="Strategy,,"/>
      <sheetName val="Strate Reve"/>
      <sheetName val="Strategy"/>
      <sheetName val="P&amp;L (LKR)"/>
      <sheetName val="P&amp;L (USD)"/>
      <sheetName val="CF"/>
      <sheetName val="Graph"/>
      <sheetName val="Sales Quantity Breakdown"/>
      <sheetName val="Sales Value Breakdown"/>
      <sheetName val="COS Breakdown"/>
      <sheetName val="OH Breakdown"/>
      <sheetName val="Salary budget"/>
      <sheetName val="Manning"/>
      <sheetName val="Capex"/>
      <sheetName val="Exchange Impact"/>
      <sheetName val="Detail job cos"/>
      <sheetName val="P&amp;L (2)"/>
      <sheetName val="1.Financial Higlight"/>
      <sheetName val="P&amp;L"/>
      <sheetName val="TB July"/>
      <sheetName val="tb"/>
      <sheetName val="TB Jan"/>
      <sheetName val="BS- Feb"/>
      <sheetName val="BS detail"/>
      <sheetName val="Tb March"/>
      <sheetName val="JPS March"/>
      <sheetName val="Debtors LKR,"/>
      <sheetName val="jps fEB"/>
      <sheetName val="Debtors USD,"/>
      <sheetName val="Debtors 25-03"/>
      <sheetName val="Facilities"/>
      <sheetName val="JPS Jan"/>
      <sheetName val="TB Nov"/>
      <sheetName val="TB Oct"/>
      <sheetName val="Sheet9"/>
      <sheetName val="JPS Dec"/>
      <sheetName val="JPS Nove"/>
      <sheetName val="JPS Oct"/>
      <sheetName val="JPS Sept"/>
      <sheetName val="JPS Aug"/>
      <sheetName val="Walkers debtors"/>
      <sheetName val="RPT creditors"/>
      <sheetName val="TB bs"/>
      <sheetName val="TB sept"/>
      <sheetName val="TB Aug"/>
      <sheetName val="JPS July"/>
      <sheetName val="JPS June"/>
      <sheetName val="TB june"/>
      <sheetName val="LEDGER"/>
      <sheetName val="OH Summary"/>
      <sheetName val="CF,"/>
      <sheetName val="Inventroy"/>
      <sheetName val="Debtr"/>
      <sheetName val="Debtors LKR"/>
      <sheetName val="Debtors USD"/>
      <sheetName val="Creditor summary"/>
      <sheetName val="Creditor Detail,"/>
      <sheetName val="Bank Balances"/>
      <sheetName val="Tax"/>
      <sheetName val="Debtor LKR"/>
      <sheetName val="Creditor -Summary"/>
      <sheetName val="Creditor Detail"/>
      <sheetName val="Debtors -USD"/>
      <sheetName val="Stock"/>
      <sheetName val="Sheet6"/>
      <sheetName val="Debtors 12-12"/>
      <sheetName val="Debtor summary"/>
      <sheetName val="CF,."/>
      <sheetName val="Sheet8"/>
      <sheetName val="JPS."/>
      <sheetName val="Debtor's age"/>
      <sheetName val="Debtor detail"/>
      <sheetName val="Creditor's age"/>
      <sheetName val="Debtors 15-05"/>
      <sheetName val="OH Working"/>
      <sheetName val="Job Summary"/>
      <sheetName val="Sheet5"/>
      <sheetName val="Sheet3"/>
      <sheetName val="Depri"/>
      <sheetName val="Traning Budg"/>
      <sheetName val="IT Capex"/>
      <sheetName val="Opera capex"/>
      <sheetName val="New Leases"/>
      <sheetName val="OH Analysis"/>
      <sheetName val="Lost Jobs"/>
      <sheetName val="Revenue Analyaia"/>
      <sheetName val="Exchange"/>
      <sheetName val="Sheet7"/>
      <sheetName val="Sheet4"/>
      <sheetName val="OH Breakdown (2)"/>
      <sheetName val="HRIS"/>
      <sheetName val="Promotions"/>
      <sheetName val="Market Adju"/>
      <sheetName val="Sheet2"/>
      <sheetName val="FT"/>
      <sheetName val="BK Loan"/>
      <sheetName val="HW  Loan"/>
      <sheetName val="Non-Ops"/>
      <sheetName val="Reconciliation"/>
      <sheetName val="CP use only"/>
      <sheetName val="PPT"/>
      <sheetName val="Company KP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7">
          <cell r="CW17">
            <v>34591881.888678513</v>
          </cell>
        </row>
        <row r="51">
          <cell r="CW51">
            <v>14714816.764728978</v>
          </cell>
        </row>
        <row r="59">
          <cell r="CW59">
            <v>16025.842916666676</v>
          </cell>
        </row>
        <row r="143">
          <cell r="CW143">
            <v>10563745.784144929</v>
          </cell>
        </row>
        <row r="145">
          <cell r="CW145">
            <v>4167096.8235007161</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ril 25"/>
      <sheetName val="Avg ExRate"/>
    </sheetNames>
    <sheetDataSet>
      <sheetData sheetId="0">
        <row r="4">
          <cell r="G4">
            <v>25034.762999999999</v>
          </cell>
          <cell r="H4">
            <v>28036.45</v>
          </cell>
          <cell r="O4">
            <v>10022.011</v>
          </cell>
          <cell r="P4">
            <v>8288.3119999999999</v>
          </cell>
          <cell r="S4">
            <v>6477.4970000000003</v>
          </cell>
          <cell r="T4">
            <v>5631.74</v>
          </cell>
          <cell r="W4">
            <v>155.98699999999999</v>
          </cell>
          <cell r="X4">
            <v>39.005000000000003</v>
          </cell>
          <cell r="AA4">
            <v>3700.5010000000002</v>
          </cell>
          <cell r="AB4">
            <v>2695.5770000000002</v>
          </cell>
          <cell r="AI4">
            <v>0</v>
          </cell>
          <cell r="AM4">
            <v>3700.5010000000002</v>
          </cell>
          <cell r="AN4">
            <v>2695.5770000000002</v>
          </cell>
        </row>
        <row r="5">
          <cell r="G5">
            <v>0</v>
          </cell>
          <cell r="H5">
            <v>0</v>
          </cell>
          <cell r="O5">
            <v>0</v>
          </cell>
          <cell r="P5">
            <v>0</v>
          </cell>
          <cell r="S5">
            <v>3</v>
          </cell>
          <cell r="T5">
            <v>0</v>
          </cell>
          <cell r="W5">
            <v>2.6549999999999998</v>
          </cell>
          <cell r="X5">
            <v>0</v>
          </cell>
          <cell r="AA5">
            <v>-0.34499999999999997</v>
          </cell>
          <cell r="AM5">
            <v>-0.34499999999999997</v>
          </cell>
          <cell r="AN5">
            <v>0</v>
          </cell>
        </row>
        <row r="6">
          <cell r="G6">
            <v>18659.905750000002</v>
          </cell>
          <cell r="H6">
            <v>28800.891792732007</v>
          </cell>
          <cell r="O6">
            <v>4177.1724800000002</v>
          </cell>
          <cell r="P6">
            <v>5319.9870298469923</v>
          </cell>
          <cell r="S6">
            <v>4297.2204199999987</v>
          </cell>
          <cell r="T6">
            <v>4831.3666109852111</v>
          </cell>
          <cell r="W6">
            <v>379.36306999999999</v>
          </cell>
          <cell r="X6">
            <v>414.83499999999998</v>
          </cell>
          <cell r="AA6">
            <v>259.31513000000268</v>
          </cell>
          <cell r="AB6">
            <v>903.45541886178034</v>
          </cell>
          <cell r="AM6">
            <v>259.31513000000268</v>
          </cell>
          <cell r="AN6">
            <v>903.45541886178034</v>
          </cell>
        </row>
        <row r="7">
          <cell r="G7">
            <v>33760.315000000002</v>
          </cell>
          <cell r="H7">
            <v>36820.800000000003</v>
          </cell>
          <cell r="O7">
            <v>25128.809000000001</v>
          </cell>
          <cell r="P7">
            <v>13901.3</v>
          </cell>
          <cell r="S7">
            <v>10466.621999999999</v>
          </cell>
          <cell r="T7">
            <v>10651.389445340317</v>
          </cell>
          <cell r="W7">
            <v>86.908000000000001</v>
          </cell>
          <cell r="X7">
            <v>213.77982434792136</v>
          </cell>
          <cell r="AA7">
            <v>14749.094999999999</v>
          </cell>
          <cell r="AB7">
            <v>3463.6903790076044</v>
          </cell>
        </row>
        <row r="8">
          <cell r="G8">
            <v>18133.171110000003</v>
          </cell>
          <cell r="H8">
            <v>42886.993582161915</v>
          </cell>
          <cell r="O8">
            <v>7479.1362000000026</v>
          </cell>
          <cell r="P8">
            <v>8024.4032866015959</v>
          </cell>
          <cell r="S8">
            <v>6502.7181500000006</v>
          </cell>
          <cell r="T8">
            <v>6728.7875687430278</v>
          </cell>
          <cell r="W8">
            <v>-5929.4859599999991</v>
          </cell>
          <cell r="X8">
            <v>0</v>
          </cell>
          <cell r="AA8">
            <v>-4953.0679099999961</v>
          </cell>
          <cell r="AB8">
            <v>1295.6157178585679</v>
          </cell>
        </row>
      </sheetData>
      <sheetData sheetId="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ubricant Cluster 1 Summary"/>
      <sheetName val="Avg ExRate-April"/>
    </sheetNames>
    <sheetDataSet>
      <sheetData sheetId="0">
        <row r="5">
          <cell r="H5">
            <v>98629.884619999997</v>
          </cell>
          <cell r="I5">
            <v>105735.90194</v>
          </cell>
          <cell r="L5">
            <v>98629.884619999997</v>
          </cell>
          <cell r="M5">
            <v>105735.90194</v>
          </cell>
          <cell r="R5">
            <v>453.93202999999994</v>
          </cell>
          <cell r="S5">
            <v>120</v>
          </cell>
          <cell r="V5">
            <v>84731.70196999998</v>
          </cell>
          <cell r="W5">
            <v>100977.98592000001</v>
          </cell>
          <cell r="AD5">
            <v>14352.114680000006</v>
          </cell>
          <cell r="AE5">
            <v>4877.916019999996</v>
          </cell>
          <cell r="AJ5">
            <v>6299.1864600000008</v>
          </cell>
          <cell r="AK5">
            <v>6211.8499400000001</v>
          </cell>
          <cell r="AR5">
            <v>8052.9282200000052</v>
          </cell>
          <cell r="AS5">
            <v>-1333.933920000004</v>
          </cell>
        </row>
        <row r="6">
          <cell r="H6">
            <v>84780.56</v>
          </cell>
          <cell r="I6">
            <v>116510.35</v>
          </cell>
          <cell r="L6">
            <v>84780.56</v>
          </cell>
          <cell r="M6">
            <v>116510.35</v>
          </cell>
          <cell r="R6">
            <v>492.01</v>
          </cell>
          <cell r="S6">
            <v>287.37</v>
          </cell>
          <cell r="V6">
            <v>57612.259999999995</v>
          </cell>
          <cell r="W6">
            <v>74185.320000000007</v>
          </cell>
          <cell r="AD6">
            <v>27660.310000000005</v>
          </cell>
          <cell r="AE6">
            <v>42612.4</v>
          </cell>
          <cell r="AJ6">
            <v>13417.2</v>
          </cell>
          <cell r="AK6">
            <v>14423.04</v>
          </cell>
          <cell r="AR6">
            <v>14243.110000000004</v>
          </cell>
          <cell r="AS6">
            <v>28189.360000000001</v>
          </cell>
        </row>
        <row r="7">
          <cell r="H7">
            <v>55886</v>
          </cell>
          <cell r="I7">
            <v>67680</v>
          </cell>
          <cell r="L7">
            <v>55886</v>
          </cell>
          <cell r="M7">
            <v>67680</v>
          </cell>
          <cell r="R7">
            <v>312</v>
          </cell>
          <cell r="S7">
            <v>338</v>
          </cell>
          <cell r="V7">
            <v>19677</v>
          </cell>
          <cell r="W7">
            <v>24407</v>
          </cell>
          <cell r="AD7">
            <v>36521</v>
          </cell>
          <cell r="AE7">
            <v>43611</v>
          </cell>
          <cell r="AJ7">
            <v>4161</v>
          </cell>
          <cell r="AK7">
            <v>4096</v>
          </cell>
          <cell r="AR7">
            <v>32360</v>
          </cell>
          <cell r="AS7">
            <v>39515</v>
          </cell>
        </row>
        <row r="8">
          <cell r="H8">
            <v>34324.803959999997</v>
          </cell>
          <cell r="I8">
            <v>48773.637999999999</v>
          </cell>
          <cell r="L8">
            <v>34324.803959999997</v>
          </cell>
          <cell r="M8">
            <v>48773.637999999999</v>
          </cell>
          <cell r="R8">
            <v>307.2133</v>
          </cell>
          <cell r="S8">
            <v>228.86990999999998</v>
          </cell>
          <cell r="V8">
            <v>33201.589659999998</v>
          </cell>
          <cell r="W8">
            <v>38250</v>
          </cell>
          <cell r="AD8">
            <v>1430.4275999999995</v>
          </cell>
          <cell r="AE8">
            <v>10752.507909999998</v>
          </cell>
          <cell r="AJ8">
            <v>925.08763999999996</v>
          </cell>
          <cell r="AK8">
            <v>910.99683540863396</v>
          </cell>
          <cell r="AR8">
            <v>505.33995999999956</v>
          </cell>
          <cell r="AS8">
            <v>9841.5110745913644</v>
          </cell>
        </row>
      </sheetData>
      <sheetData sheetId="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c"/>
      <sheetName val="Sheet1"/>
      <sheetName val="Avg ExRate"/>
    </sheetNames>
    <sheetDataSet>
      <sheetData sheetId="0">
        <row r="4">
          <cell r="G4">
            <v>134639.44795465347</v>
          </cell>
          <cell r="H4">
            <v>144968.05532137956</v>
          </cell>
          <cell r="K4">
            <v>60316.207991653973</v>
          </cell>
          <cell r="L4">
            <v>60541.546915128485</v>
          </cell>
          <cell r="O4">
            <v>0</v>
          </cell>
          <cell r="P4">
            <v>0</v>
          </cell>
          <cell r="S4">
            <v>54050.568894796066</v>
          </cell>
          <cell r="T4">
            <v>55937.674899872422</v>
          </cell>
          <cell r="W4">
            <v>6265.6390968579071</v>
          </cell>
          <cell r="X4">
            <v>4603.8720152560636</v>
          </cell>
        </row>
        <row r="5">
          <cell r="G5">
            <v>70661.477490000005</v>
          </cell>
          <cell r="H5">
            <v>95038.982490681898</v>
          </cell>
          <cell r="K5">
            <v>37430.716877535066</v>
          </cell>
          <cell r="L5">
            <v>46374.914860570214</v>
          </cell>
          <cell r="O5">
            <v>394.80399999999997</v>
          </cell>
          <cell r="P5">
            <v>0</v>
          </cell>
          <cell r="S5">
            <v>29015.00527253333</v>
          </cell>
          <cell r="T5">
            <v>30076.560682265408</v>
          </cell>
          <cell r="W5">
            <v>8810.5156050017322</v>
          </cell>
          <cell r="X5">
            <v>16298.354178304806</v>
          </cell>
        </row>
      </sheetData>
      <sheetData sheetId="1" refreshError="1"/>
      <sheetData sheetId="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erformance summary"/>
      <sheetName val="Summary - Apr 25"/>
      <sheetName val="Action Points-Mar"/>
      <sheetName val="Property List"/>
      <sheetName val="Exchange rate"/>
      <sheetName val="Sheet1"/>
      <sheetName val="Sheet2"/>
      <sheetName val="Sheet3"/>
      <sheetName val="Sheet4"/>
      <sheetName val="Sheet5"/>
      <sheetName val="Sheet6"/>
      <sheetName val="Action Points"/>
    </sheetNames>
    <sheetDataSet>
      <sheetData sheetId="0" refreshError="1"/>
      <sheetData sheetId="1" refreshError="1"/>
      <sheetData sheetId="2">
        <row r="3">
          <cell r="H3">
            <v>14139615</v>
          </cell>
          <cell r="K3">
            <v>14023333</v>
          </cell>
          <cell r="L3">
            <v>13786379</v>
          </cell>
          <cell r="O3">
            <v>8313494</v>
          </cell>
          <cell r="P3">
            <v>8082809</v>
          </cell>
          <cell r="S3">
            <v>5709839</v>
          </cell>
          <cell r="T3">
            <v>5703570</v>
          </cell>
        </row>
        <row r="4">
          <cell r="G4">
            <v>1625038</v>
          </cell>
          <cell r="H4">
            <v>1622385.2187500005</v>
          </cell>
          <cell r="K4">
            <v>1625038</v>
          </cell>
          <cell r="L4">
            <v>1622385.2187500005</v>
          </cell>
          <cell r="O4">
            <v>1499919</v>
          </cell>
          <cell r="P4">
            <v>1527829</v>
          </cell>
          <cell r="S4">
            <v>125119</v>
          </cell>
          <cell r="T4">
            <v>94556.218750000466</v>
          </cell>
        </row>
        <row r="5">
          <cell r="G5">
            <v>2381860</v>
          </cell>
          <cell r="H5">
            <v>3004760</v>
          </cell>
          <cell r="K5">
            <v>2381860</v>
          </cell>
          <cell r="L5">
            <v>3004760</v>
          </cell>
          <cell r="O5">
            <v>2248325</v>
          </cell>
          <cell r="P5">
            <v>1221193</v>
          </cell>
          <cell r="S5">
            <v>133535</v>
          </cell>
          <cell r="T5">
            <v>1783567</v>
          </cell>
        </row>
        <row r="6">
          <cell r="G6">
            <v>642286</v>
          </cell>
          <cell r="H6">
            <v>954901</v>
          </cell>
          <cell r="K6">
            <v>642286</v>
          </cell>
          <cell r="L6">
            <v>954901</v>
          </cell>
          <cell r="O6">
            <v>745464.23287671234</v>
          </cell>
          <cell r="P6">
            <v>818250</v>
          </cell>
          <cell r="S6">
            <v>-103178.23287671234</v>
          </cell>
          <cell r="T6">
            <v>136651</v>
          </cell>
        </row>
        <row r="7">
          <cell r="G7">
            <v>49600</v>
          </cell>
          <cell r="H7">
            <v>0</v>
          </cell>
          <cell r="K7">
            <v>49600</v>
          </cell>
          <cell r="L7">
            <v>0</v>
          </cell>
          <cell r="O7">
            <v>163723.51</v>
          </cell>
          <cell r="P7">
            <v>0</v>
          </cell>
          <cell r="S7">
            <v>-114123.51000000001</v>
          </cell>
          <cell r="T7">
            <v>0</v>
          </cell>
        </row>
        <row r="8">
          <cell r="G8">
            <v>265000</v>
          </cell>
          <cell r="H8">
            <v>0</v>
          </cell>
          <cell r="K8">
            <v>265000</v>
          </cell>
          <cell r="L8">
            <v>0</v>
          </cell>
          <cell r="O8">
            <v>75000</v>
          </cell>
          <cell r="P8">
            <v>0</v>
          </cell>
          <cell r="S8">
            <v>190000</v>
          </cell>
          <cell r="T8">
            <v>0</v>
          </cell>
        </row>
        <row r="9">
          <cell r="G9">
            <v>1013540</v>
          </cell>
          <cell r="H9">
            <v>0</v>
          </cell>
          <cell r="K9">
            <v>1013540</v>
          </cell>
          <cell r="L9">
            <v>0</v>
          </cell>
          <cell r="O9">
            <v>96939.719999999987</v>
          </cell>
          <cell r="P9">
            <v>0</v>
          </cell>
          <cell r="S9">
            <v>916600.28</v>
          </cell>
          <cell r="T9">
            <v>0</v>
          </cell>
        </row>
        <row r="10">
          <cell r="O10">
            <v>96939.719999999987</v>
          </cell>
          <cell r="S10">
            <v>-96939.719999999987</v>
          </cell>
        </row>
        <row r="15">
          <cell r="G15">
            <v>5190000</v>
          </cell>
          <cell r="H15">
            <v>5190000</v>
          </cell>
          <cell r="K15">
            <v>5190000</v>
          </cell>
          <cell r="L15">
            <v>5190000</v>
          </cell>
          <cell r="O15">
            <v>3659193</v>
          </cell>
          <cell r="P15">
            <v>3631625</v>
          </cell>
          <cell r="S15">
            <v>1530807</v>
          </cell>
          <cell r="T15">
            <v>1558375</v>
          </cell>
        </row>
        <row r="16">
          <cell r="G16">
            <v>18775302</v>
          </cell>
          <cell r="H16">
            <v>11967000</v>
          </cell>
          <cell r="K16">
            <v>18775302</v>
          </cell>
          <cell r="L16">
            <v>11967000</v>
          </cell>
          <cell r="O16">
            <v>16582809</v>
          </cell>
          <cell r="P16">
            <v>8924000</v>
          </cell>
          <cell r="S16">
            <v>2192493</v>
          </cell>
          <cell r="T16">
            <v>3043000</v>
          </cell>
        </row>
        <row r="17">
          <cell r="G17">
            <v>353141</v>
          </cell>
          <cell r="H17">
            <v>302000</v>
          </cell>
          <cell r="K17">
            <v>353141</v>
          </cell>
          <cell r="L17">
            <v>302000</v>
          </cell>
          <cell r="O17">
            <v>48317</v>
          </cell>
          <cell r="P17">
            <v>141000</v>
          </cell>
          <cell r="S17">
            <v>304824</v>
          </cell>
          <cell r="T17">
            <v>161000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ubricant Cluster 1 Summary"/>
      <sheetName val="Avg ExRate-April"/>
    </sheetNames>
    <sheetDataSet>
      <sheetData sheetId="0">
        <row r="5">
          <cell r="H5">
            <v>470616.84345000004</v>
          </cell>
          <cell r="I5">
            <v>747980.43346500013</v>
          </cell>
          <cell r="L5">
            <v>69250.045218000014</v>
          </cell>
          <cell r="M5">
            <v>185308.89330083693</v>
          </cell>
          <cell r="R5">
            <v>806.91149400000006</v>
          </cell>
          <cell r="S5">
            <v>0</v>
          </cell>
          <cell r="V5">
            <v>142471.19366900524</v>
          </cell>
          <cell r="W5">
            <v>146407.41170415084</v>
          </cell>
          <cell r="AD5">
            <v>-11793.314579005249</v>
          </cell>
          <cell r="AE5">
            <v>38901.481596686062</v>
          </cell>
          <cell r="AJ5">
            <v>0</v>
          </cell>
          <cell r="AN5">
            <v>0</v>
          </cell>
          <cell r="AO5">
            <v>0</v>
          </cell>
          <cell r="AR5">
            <v>-11793.314579005249</v>
          </cell>
          <cell r="AS5">
            <v>38901.481596686062</v>
          </cell>
        </row>
        <row r="6">
          <cell r="H6">
            <v>197151.66232</v>
          </cell>
          <cell r="I6">
            <v>233107.34584105943</v>
          </cell>
          <cell r="L6">
            <v>52865.343939611586</v>
          </cell>
          <cell r="M6">
            <v>67784.798364483242</v>
          </cell>
          <cell r="R6">
            <v>255.23069000000001</v>
          </cell>
          <cell r="S6">
            <v>0</v>
          </cell>
          <cell r="V6">
            <v>32052.168274602973</v>
          </cell>
          <cell r="W6">
            <v>36589.670860600687</v>
          </cell>
          <cell r="AD6">
            <v>23795.594355008612</v>
          </cell>
          <cell r="AE6">
            <v>31195.127503882548</v>
          </cell>
          <cell r="AJ6">
            <v>12883.434745397024</v>
          </cell>
          <cell r="AK6">
            <v>7399.1992335717177</v>
          </cell>
          <cell r="AN6">
            <v>16613.514725308181</v>
          </cell>
          <cell r="AO6">
            <v>0</v>
          </cell>
          <cell r="AR6">
            <v>27525.674334919771</v>
          </cell>
          <cell r="AS6">
            <v>23795.928270310829</v>
          </cell>
        </row>
        <row r="7">
          <cell r="H7">
            <v>324483.32414000004</v>
          </cell>
          <cell r="I7">
            <v>387512.91005353769</v>
          </cell>
          <cell r="L7">
            <v>95222.250600000072</v>
          </cell>
          <cell r="M7">
            <v>119952.00230670447</v>
          </cell>
          <cell r="R7">
            <v>287.92347999999998</v>
          </cell>
          <cell r="S7">
            <v>0</v>
          </cell>
          <cell r="V7">
            <v>83891.869689999992</v>
          </cell>
          <cell r="W7">
            <v>78558.231166852871</v>
          </cell>
          <cell r="AD7">
            <v>12981.929560000075</v>
          </cell>
          <cell r="AE7">
            <v>41393.771139851648</v>
          </cell>
          <cell r="AJ7">
            <v>0</v>
          </cell>
          <cell r="AK7">
            <v>0</v>
          </cell>
          <cell r="AO7">
            <v>0</v>
          </cell>
          <cell r="AR7">
            <v>12981.929560000075</v>
          </cell>
          <cell r="AS7">
            <v>41393.771139851648</v>
          </cell>
        </row>
        <row r="8">
          <cell r="H8">
            <v>62468.82329</v>
          </cell>
          <cell r="I8">
            <v>61427.497396698047</v>
          </cell>
          <cell r="L8">
            <v>22901.682119999998</v>
          </cell>
          <cell r="M8">
            <v>22647.096094114593</v>
          </cell>
          <cell r="R8">
            <v>35.153529999999996</v>
          </cell>
          <cell r="S8">
            <v>0</v>
          </cell>
          <cell r="V8">
            <v>19843.603580000003</v>
          </cell>
          <cell r="W8">
            <v>22109.081873650655</v>
          </cell>
          <cell r="AD8">
            <v>4834.9217799999969</v>
          </cell>
          <cell r="AE8">
            <v>538.01422046393895</v>
          </cell>
          <cell r="AJ8">
            <v>750</v>
          </cell>
          <cell r="AK8">
            <v>0</v>
          </cell>
          <cell r="AN8">
            <v>0</v>
          </cell>
          <cell r="AO8">
            <v>0</v>
          </cell>
          <cell r="AR8">
            <v>4084.9217799999969</v>
          </cell>
          <cell r="AS8">
            <v>538.01422046393895</v>
          </cell>
        </row>
      </sheetData>
      <sheetData sheetId="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ubricant Cluster Summary"/>
      <sheetName val="Avg ExRate -Apr"/>
    </sheetNames>
    <sheetDataSet>
      <sheetData sheetId="0">
        <row r="5">
          <cell r="H5">
            <v>123281.91553362498</v>
          </cell>
          <cell r="I5">
            <v>141445.0645627226</v>
          </cell>
          <cell r="L5">
            <v>33241.499433624966</v>
          </cell>
          <cell r="M5">
            <v>41892.032588822622</v>
          </cell>
          <cell r="R5">
            <v>119.0882</v>
          </cell>
          <cell r="S5">
            <v>100</v>
          </cell>
          <cell r="V5">
            <v>36929.307780000003</v>
          </cell>
          <cell r="W5">
            <v>37893.054782986881</v>
          </cell>
          <cell r="AD5">
            <v>-3179.7281463750178</v>
          </cell>
          <cell r="AE5">
            <v>4098.9778058357388</v>
          </cell>
          <cell r="AR5">
            <v>-3179.7281463750178</v>
          </cell>
          <cell r="AS5">
            <v>4098.9778058357388</v>
          </cell>
        </row>
        <row r="6">
          <cell r="H6">
            <v>36679.228158500002</v>
          </cell>
          <cell r="I6">
            <v>46828.4579964609</v>
          </cell>
          <cell r="L6">
            <v>4093.9193685000018</v>
          </cell>
          <cell r="M6">
            <v>8202.0011714138618</v>
          </cell>
          <cell r="R6">
            <v>0</v>
          </cell>
          <cell r="S6">
            <v>0</v>
          </cell>
          <cell r="V6">
            <v>10463.420249999999</v>
          </cell>
          <cell r="W6">
            <v>11835.593358042828</v>
          </cell>
          <cell r="AD6">
            <v>-7306.2508814999983</v>
          </cell>
          <cell r="AE6">
            <v>-3633.5921866289677</v>
          </cell>
          <cell r="AR6">
            <v>-7306.2508814999983</v>
          </cell>
          <cell r="AS6">
            <v>-3633.5921866289677</v>
          </cell>
        </row>
        <row r="7">
          <cell r="H7">
            <v>2491.2065899999998</v>
          </cell>
          <cell r="I7">
            <v>12490.2615991475</v>
          </cell>
          <cell r="L7">
            <v>422.15655999999984</v>
          </cell>
          <cell r="M7">
            <v>2686.4148597685976</v>
          </cell>
          <cell r="R7">
            <v>0.54103000000000001</v>
          </cell>
          <cell r="S7">
            <v>0</v>
          </cell>
          <cell r="V7">
            <v>2135.6455499999997</v>
          </cell>
          <cell r="W7">
            <v>4647.5179270720473</v>
          </cell>
          <cell r="AD7">
            <v>-1712.94796</v>
          </cell>
          <cell r="AE7">
            <v>-1961.1030673034497</v>
          </cell>
          <cell r="AR7">
            <v>-1712.94796</v>
          </cell>
          <cell r="AS7">
            <v>-1961.1030673034497</v>
          </cell>
        </row>
        <row r="8">
          <cell r="R8">
            <v>162.48573000000002</v>
          </cell>
          <cell r="S8">
            <v>162.48573000000002</v>
          </cell>
          <cell r="AD8">
            <v>162.38573000000002</v>
          </cell>
          <cell r="AE8">
            <v>162.38573000000002</v>
          </cell>
          <cell r="AR8">
            <v>162.38573000000002</v>
          </cell>
          <cell r="AS8">
            <v>162.38573000000002</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8A63-D318-4AF4-B466-1F91605F0CFA}">
  <sheetPr>
    <tabColor rgb="FF92D050"/>
  </sheetPr>
  <dimension ref="A1:ABC101"/>
  <sheetViews>
    <sheetView showGridLines="0" tabSelected="1" zoomScale="80" zoomScaleNormal="80" workbookViewId="0">
      <pane xSplit="5" ySplit="5" topLeftCell="F24" activePane="bottomRight" state="frozen"/>
      <selection activeCell="X3" sqref="X3"/>
      <selection pane="topRight" activeCell="X3" sqref="X3"/>
      <selection pane="bottomLeft" activeCell="X3" sqref="X3"/>
      <selection pane="bottomRight" activeCell="J31" sqref="J31"/>
    </sheetView>
  </sheetViews>
  <sheetFormatPr defaultColWidth="8.77734375" defaultRowHeight="15" customHeight="1" outlineLevelCol="1" x14ac:dyDescent="0.3"/>
  <cols>
    <col min="1" max="1" width="27.109375" style="4" customWidth="1"/>
    <col min="2" max="2" width="23.109375" style="1" hidden="1" customWidth="1"/>
    <col min="3" max="3" width="0.109375" style="1" customWidth="1"/>
    <col min="4" max="4" width="8.88671875" style="1" customWidth="1"/>
    <col min="5" max="5" width="47" style="1" customWidth="1"/>
    <col min="6" max="7" width="10.6640625" style="1" customWidth="1"/>
    <col min="8" max="8" width="9.88671875" style="1" customWidth="1"/>
    <col min="9" max="9" width="7.88671875" style="2" customWidth="1"/>
    <col min="10" max="12" width="10.6640625" style="1" customWidth="1"/>
    <col min="13" max="13" width="8.44140625" style="2" customWidth="1"/>
    <col min="14" max="15" width="10.6640625" style="1" customWidth="1"/>
    <col min="16" max="16" width="11.21875" style="1" customWidth="1"/>
    <col min="17" max="17" width="8.21875" style="2" customWidth="1"/>
    <col min="18" max="19" width="10.6640625" style="1" customWidth="1"/>
    <col min="20" max="20" width="8.5546875" style="1" customWidth="1"/>
    <col min="21" max="21" width="8.5546875" style="2" customWidth="1"/>
    <col min="22" max="24" width="10.6640625" style="1" customWidth="1"/>
    <col min="25" max="25" width="10.6640625" style="2" customWidth="1"/>
    <col min="26" max="28" width="10.6640625" style="1" customWidth="1"/>
    <col min="29" max="29" width="10.6640625" style="2" customWidth="1"/>
    <col min="30" max="37" width="10.6640625" style="2" customWidth="1" outlineLevel="1"/>
    <col min="38" max="40" width="10.6640625" style="2" customWidth="1"/>
    <col min="41" max="41" width="10.6640625" style="98" customWidth="1"/>
    <col min="42" max="42" width="255.44140625" style="7" customWidth="1"/>
    <col min="43" max="43" width="8.77734375" style="1" customWidth="1"/>
    <col min="44" max="44" width="14.21875" style="1" customWidth="1"/>
    <col min="45" max="45" width="13" style="1" customWidth="1"/>
    <col min="46" max="46" width="17.44140625" style="1" customWidth="1"/>
    <col min="47" max="47" width="16.6640625" style="1" customWidth="1"/>
    <col min="48" max="16384" width="8.77734375" style="1"/>
  </cols>
  <sheetData>
    <row r="1" spans="1:731" ht="15" customHeight="1" x14ac:dyDescent="0.3">
      <c r="A1" s="395" t="s">
        <v>0</v>
      </c>
      <c r="B1" s="100"/>
      <c r="C1" s="100"/>
      <c r="D1" s="101" t="s">
        <v>1</v>
      </c>
      <c r="E1" s="363" t="s">
        <v>123</v>
      </c>
    </row>
    <row r="2" spans="1:731" ht="15" customHeight="1" thickBot="1" x14ac:dyDescent="0.35">
      <c r="A2" s="396" t="s">
        <v>2</v>
      </c>
      <c r="B2" s="102"/>
      <c r="C2" s="102"/>
      <c r="D2" s="103" t="s">
        <v>1</v>
      </c>
      <c r="E2" s="364" t="s">
        <v>123</v>
      </c>
      <c r="F2" s="3">
        <v>298.531194736842</v>
      </c>
      <c r="G2" s="3"/>
    </row>
    <row r="3" spans="1:731" ht="15" customHeight="1" thickBot="1" x14ac:dyDescent="0.35"/>
    <row r="4" spans="1:731" ht="15" customHeight="1" thickBot="1" x14ac:dyDescent="0.35">
      <c r="A4" s="419" t="s">
        <v>3</v>
      </c>
      <c r="B4" s="419" t="s">
        <v>4</v>
      </c>
      <c r="C4" s="5"/>
      <c r="D4" s="419" t="s">
        <v>5</v>
      </c>
      <c r="E4" s="425" t="s">
        <v>6</v>
      </c>
      <c r="F4" s="430" t="s">
        <v>119</v>
      </c>
      <c r="G4" s="431"/>
      <c r="H4" s="431"/>
      <c r="I4" s="434"/>
      <c r="J4" s="430" t="s">
        <v>118</v>
      </c>
      <c r="K4" s="431"/>
      <c r="L4" s="326"/>
      <c r="M4" s="326"/>
      <c r="N4" s="430" t="s">
        <v>117</v>
      </c>
      <c r="O4" s="431"/>
      <c r="P4" s="326"/>
      <c r="Q4" s="326"/>
      <c r="R4" s="430" t="s">
        <v>7</v>
      </c>
      <c r="S4" s="431"/>
      <c r="T4" s="326"/>
      <c r="U4" s="326"/>
      <c r="V4" s="430" t="s">
        <v>116</v>
      </c>
      <c r="W4" s="431"/>
      <c r="X4" s="326"/>
      <c r="Y4" s="326"/>
      <c r="Z4" s="430" t="s">
        <v>120</v>
      </c>
      <c r="AA4" s="431"/>
      <c r="AB4" s="431"/>
      <c r="AC4" s="431"/>
      <c r="AD4" s="431" t="s">
        <v>127</v>
      </c>
      <c r="AE4" s="431"/>
      <c r="AF4" s="431"/>
      <c r="AG4" s="434"/>
      <c r="AH4" s="430" t="s">
        <v>89</v>
      </c>
      <c r="AI4" s="431"/>
      <c r="AJ4" s="431"/>
      <c r="AK4" s="434"/>
      <c r="AL4" s="430" t="s">
        <v>115</v>
      </c>
      <c r="AM4" s="431"/>
      <c r="AN4" s="431"/>
      <c r="AO4" s="434"/>
      <c r="AP4" s="432" t="s">
        <v>8</v>
      </c>
    </row>
    <row r="5" spans="1:731" s="7" customFormat="1" ht="25.05" customHeight="1" thickBot="1" x14ac:dyDescent="0.35">
      <c r="A5" s="420"/>
      <c r="B5" s="420"/>
      <c r="C5" s="6"/>
      <c r="D5" s="419"/>
      <c r="E5" s="425"/>
      <c r="F5" s="322" t="s">
        <v>124</v>
      </c>
      <c r="G5" s="323" t="s">
        <v>126</v>
      </c>
      <c r="H5" s="324" t="s">
        <v>121</v>
      </c>
      <c r="I5" s="325" t="s">
        <v>122</v>
      </c>
      <c r="J5" s="322" t="s">
        <v>124</v>
      </c>
      <c r="K5" s="323" t="s">
        <v>126</v>
      </c>
      <c r="L5" s="324" t="s">
        <v>121</v>
      </c>
      <c r="M5" s="325" t="s">
        <v>122</v>
      </c>
      <c r="N5" s="322" t="s">
        <v>124</v>
      </c>
      <c r="O5" s="323" t="s">
        <v>126</v>
      </c>
      <c r="P5" s="324" t="s">
        <v>121</v>
      </c>
      <c r="Q5" s="325" t="s">
        <v>122</v>
      </c>
      <c r="R5" s="322" t="s">
        <v>124</v>
      </c>
      <c r="S5" s="323" t="s">
        <v>126</v>
      </c>
      <c r="T5" s="324" t="s">
        <v>121</v>
      </c>
      <c r="U5" s="325" t="s">
        <v>122</v>
      </c>
      <c r="V5" s="322" t="s">
        <v>124</v>
      </c>
      <c r="W5" s="323" t="s">
        <v>125</v>
      </c>
      <c r="X5" s="324" t="s">
        <v>121</v>
      </c>
      <c r="Y5" s="325" t="s">
        <v>122</v>
      </c>
      <c r="Z5" s="322" t="s">
        <v>124</v>
      </c>
      <c r="AA5" s="323" t="s">
        <v>126</v>
      </c>
      <c r="AB5" s="324" t="s">
        <v>121</v>
      </c>
      <c r="AC5" s="325" t="s">
        <v>122</v>
      </c>
      <c r="AD5" s="322" t="s">
        <v>124</v>
      </c>
      <c r="AE5" s="323" t="s">
        <v>126</v>
      </c>
      <c r="AF5" s="324" t="s">
        <v>121</v>
      </c>
      <c r="AG5" s="325" t="s">
        <v>122</v>
      </c>
      <c r="AH5" s="257" t="s">
        <v>87</v>
      </c>
      <c r="AI5" s="323" t="s">
        <v>88</v>
      </c>
      <c r="AJ5" s="324" t="s">
        <v>121</v>
      </c>
      <c r="AK5" s="325" t="s">
        <v>122</v>
      </c>
      <c r="AL5" s="322" t="s">
        <v>124</v>
      </c>
      <c r="AM5" s="323" t="s">
        <v>126</v>
      </c>
      <c r="AN5" s="324" t="s">
        <v>121</v>
      </c>
      <c r="AO5" s="325" t="s">
        <v>122</v>
      </c>
      <c r="AP5" s="433"/>
      <c r="AR5" s="7" t="s">
        <v>90</v>
      </c>
      <c r="AS5" s="7" t="s">
        <v>91</v>
      </c>
      <c r="AT5" s="7" t="s">
        <v>92</v>
      </c>
      <c r="AU5" s="7" t="s">
        <v>93</v>
      </c>
    </row>
    <row r="6" spans="1:731" ht="15" customHeight="1" x14ac:dyDescent="0.3">
      <c r="A6" s="421" t="s">
        <v>9</v>
      </c>
      <c r="B6" s="435" t="s">
        <v>10</v>
      </c>
      <c r="C6" s="295"/>
      <c r="D6" s="258" t="s">
        <v>11</v>
      </c>
      <c r="E6" s="259" t="s">
        <v>12</v>
      </c>
      <c r="F6" s="226">
        <f t="shared" ref="F6:G8" si="0">J6/$F$2</f>
        <v>357.37697058441955</v>
      </c>
      <c r="G6" s="260">
        <f t="shared" si="0"/>
        <v>358.79909332229369</v>
      </c>
      <c r="H6" s="228">
        <f>F6-G6</f>
        <v>-1.4221227378741332</v>
      </c>
      <c r="I6" s="229">
        <f t="shared" ref="I6:I77" si="1">IFERROR(IF(G6&lt;0,-(F6-G6)/G6,(F6-G6)/G6),"")</f>
        <v>-3.9635627969569643E-3</v>
      </c>
      <c r="J6" s="230">
        <f>106688174/1000</f>
        <v>106688.174</v>
      </c>
      <c r="K6" s="227">
        <f>107112722/1000</f>
        <v>107112.72199999999</v>
      </c>
      <c r="L6" s="228">
        <f>J6-K6</f>
        <v>-424.54799999999523</v>
      </c>
      <c r="M6" s="229">
        <f>IFERROR(IF(K6&lt;0,-(J6-K6)/K6,(J6-K6)/K6),"")</f>
        <v>-3.9635627969569782E-3</v>
      </c>
      <c r="N6" s="230">
        <f>105796334/1000</f>
        <v>105796.334</v>
      </c>
      <c r="O6" s="227">
        <f>105950424/1000</f>
        <v>105950.424</v>
      </c>
      <c r="P6" s="228">
        <f>N6-O6</f>
        <v>-154.08999999999651</v>
      </c>
      <c r="Q6" s="229">
        <f t="shared" ref="Q6:Q74" si="2">IFERROR(IF(O6&lt;0,-(N6-O6)/O6,(N6-O6)/O6),"")</f>
        <v>-1.4543594464520172E-3</v>
      </c>
      <c r="R6" s="261">
        <f>-2483977/1000</f>
        <v>-2483.9769999999999</v>
      </c>
      <c r="S6" s="227">
        <f>468559/1000</f>
        <v>468.55900000000003</v>
      </c>
      <c r="T6" s="228">
        <f>R6-S6</f>
        <v>-2952.5360000000001</v>
      </c>
      <c r="U6" s="229">
        <f t="shared" ref="U6:U21" si="3">IFERROR(IF(S6&lt;0,-(R6-S6)/S6,(R6-S6)/S6),"")</f>
        <v>-6.3013110408721209</v>
      </c>
      <c r="V6" s="261">
        <f>32001632/1000</f>
        <v>32001.632000000001</v>
      </c>
      <c r="W6" s="227">
        <f>20409268/1000</f>
        <v>20409.268</v>
      </c>
      <c r="X6" s="228">
        <f>V6-W6</f>
        <v>11592.364000000001</v>
      </c>
      <c r="Y6" s="229">
        <f t="shared" ref="Y6:Y75" si="4">IFERROR(IF(W6&lt;0,-(V6-W6)/W6,(V6-W6)/W6),"")</f>
        <v>0.56799508928982667</v>
      </c>
      <c r="Z6" s="230">
        <f>71310724/1000</f>
        <v>71310.724000000002</v>
      </c>
      <c r="AA6" s="227">
        <f>86009715/1000</f>
        <v>86009.714999999997</v>
      </c>
      <c r="AB6" s="228">
        <f>Z6-AA6</f>
        <v>-14698.990999999995</v>
      </c>
      <c r="AC6" s="233">
        <f t="shared" ref="AC6:AC75" si="5">IFERROR(IF(AA6&lt;0,-(Z6-AA6)/AA6,(Z6-AA6)/AA6),"")</f>
        <v>-0.1708991943526379</v>
      </c>
      <c r="AD6" s="234">
        <v>0</v>
      </c>
      <c r="AE6" s="262">
        <v>0</v>
      </c>
      <c r="AF6" s="228">
        <f>AD6-AE6</f>
        <v>0</v>
      </c>
      <c r="AG6" s="263">
        <v>0</v>
      </c>
      <c r="AH6" s="264">
        <v>0</v>
      </c>
      <c r="AI6" s="265">
        <v>0</v>
      </c>
      <c r="AJ6" s="228">
        <f>AH6-AI6</f>
        <v>0</v>
      </c>
      <c r="AK6" s="263" t="str">
        <f>IFERROR(IF(AI6&lt;0,-(AH6-AI6)/AI6,(AH6-AI6)/AI6),"")</f>
        <v/>
      </c>
      <c r="AL6" s="264">
        <f>(71313615/1000)-3</f>
        <v>71310.615000000005</v>
      </c>
      <c r="AM6" s="241">
        <f>AA6</f>
        <v>86009.714999999997</v>
      </c>
      <c r="AN6" s="228">
        <f>AL6-AM6</f>
        <v>-14699.099999999991</v>
      </c>
      <c r="AO6" s="242">
        <f>IFERROR(IF(AM6&lt;0,-(AL6-AM6)/AM6,(AL6-AM6)/AM6),"")</f>
        <v>-0.17090046165133779</v>
      </c>
      <c r="AP6" s="88"/>
      <c r="AR6" s="1">
        <f>(N6+R6-V6)-Z6</f>
        <v>1.0000000038417056E-3</v>
      </c>
      <c r="AS6" s="1">
        <f>(O6+S6-W6)-AA6</f>
        <v>0</v>
      </c>
      <c r="AT6" s="1">
        <f>(Z6-AD6+AH6)-AL6</f>
        <v>0.10899999999674037</v>
      </c>
      <c r="AU6" s="1">
        <f>(AA6-AE6+AI6)-AM6</f>
        <v>0</v>
      </c>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22"/>
      <c r="PX6" s="22"/>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2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2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Q6" s="22"/>
      <c r="YR6" s="22"/>
      <c r="YS6" s="22"/>
      <c r="YT6" s="22"/>
      <c r="YU6" s="22"/>
      <c r="YV6" s="22"/>
      <c r="YW6" s="22"/>
      <c r="YX6" s="22"/>
      <c r="YY6" s="22"/>
      <c r="YZ6" s="22"/>
      <c r="ZA6" s="22"/>
      <c r="ZB6" s="22"/>
      <c r="ZC6" s="22"/>
      <c r="ZD6" s="22"/>
      <c r="ZE6" s="22"/>
      <c r="ZF6" s="22"/>
      <c r="ZG6" s="22"/>
      <c r="ZH6" s="22"/>
      <c r="ZI6" s="22"/>
      <c r="ZJ6" s="22"/>
      <c r="ZK6" s="22"/>
      <c r="ZL6" s="22"/>
      <c r="ZM6" s="22"/>
      <c r="ZN6" s="22"/>
      <c r="ZO6" s="22"/>
      <c r="ZP6" s="22"/>
      <c r="ZQ6" s="22"/>
      <c r="ZR6" s="22"/>
      <c r="ZS6" s="22"/>
      <c r="ZT6" s="22"/>
      <c r="ZU6" s="22"/>
      <c r="ZV6" s="22"/>
      <c r="ZW6" s="22"/>
      <c r="ZX6" s="22"/>
      <c r="ZY6" s="22"/>
      <c r="ZZ6" s="22"/>
      <c r="AAA6" s="22"/>
      <c r="AAB6" s="22"/>
      <c r="AAC6" s="22"/>
      <c r="AAD6" s="22"/>
      <c r="AAE6" s="22"/>
      <c r="AAF6" s="22"/>
      <c r="AAG6" s="22"/>
      <c r="AAH6" s="22"/>
      <c r="AAI6" s="22"/>
      <c r="AAJ6" s="22"/>
      <c r="AAK6" s="22"/>
      <c r="AAL6" s="22"/>
      <c r="AAM6" s="22"/>
      <c r="AAN6" s="22"/>
      <c r="AAO6" s="22"/>
      <c r="AAP6" s="22"/>
      <c r="AAQ6" s="22"/>
      <c r="AAR6" s="22"/>
      <c r="AAS6" s="22"/>
      <c r="AAT6" s="22"/>
      <c r="AAU6" s="22"/>
      <c r="AAV6" s="22"/>
      <c r="AAW6" s="22"/>
      <c r="AAX6" s="22"/>
      <c r="AAY6" s="22"/>
      <c r="AAZ6" s="22"/>
      <c r="ABA6" s="22"/>
      <c r="ABB6" s="22"/>
      <c r="ABC6" s="22"/>
    </row>
    <row r="7" spans="1:731" s="2" customFormat="1" ht="15" customHeight="1" x14ac:dyDescent="0.3">
      <c r="A7" s="422"/>
      <c r="B7" s="435"/>
      <c r="C7" s="296"/>
      <c r="D7" s="266" t="s">
        <v>13</v>
      </c>
      <c r="E7" s="23" t="s">
        <v>14</v>
      </c>
      <c r="F7" s="11">
        <f t="shared" si="0"/>
        <v>0</v>
      </c>
      <c r="G7" s="24">
        <f t="shared" si="0"/>
        <v>0</v>
      </c>
      <c r="H7" s="25"/>
      <c r="I7" s="14" t="str">
        <f t="shared" si="1"/>
        <v/>
      </c>
      <c r="J7" s="15"/>
      <c r="K7" s="16"/>
      <c r="L7" s="25"/>
      <c r="M7" s="14" t="str">
        <f>IFERROR(IF(K7&lt;0,-(J7-K7)/K7,(J7-K7)/K7),"")</f>
        <v/>
      </c>
      <c r="N7" s="18"/>
      <c r="O7" s="26"/>
      <c r="P7" s="25"/>
      <c r="Q7" s="14" t="str">
        <f t="shared" si="2"/>
        <v/>
      </c>
      <c r="R7" s="18"/>
      <c r="S7" s="28"/>
      <c r="T7" s="25">
        <v>845.80399862262038</v>
      </c>
      <c r="U7" s="14" t="str">
        <f t="shared" si="3"/>
        <v/>
      </c>
      <c r="V7" s="18"/>
      <c r="W7" s="28"/>
      <c r="X7" s="25"/>
      <c r="Y7" s="14" t="str">
        <f t="shared" si="4"/>
        <v/>
      </c>
      <c r="Z7" s="18"/>
      <c r="AA7" s="16"/>
      <c r="AB7" s="25"/>
      <c r="AC7" s="19" t="str">
        <f>IFERROR(IF(AA7&lt;0,-(Z7-AA7)/AA7,(Z7-AA7)/AA7),"")</f>
        <v/>
      </c>
      <c r="AD7" s="126">
        <v>0</v>
      </c>
      <c r="AE7" s="138"/>
      <c r="AF7" s="13">
        <f t="shared" ref="AF7:AF78" si="6">AD7-AE7</f>
        <v>0</v>
      </c>
      <c r="AG7" s="20" t="str">
        <f t="shared" ref="AG7:AG67" si="7">IFERROR(IF(AE7&lt;0,-(AD7-AE7)/AE7,(AD7-AE7)/AE7),"")</f>
        <v/>
      </c>
      <c r="AH7" s="143"/>
      <c r="AI7" s="127"/>
      <c r="AJ7" s="13">
        <f t="shared" ref="AJ7:AJ78" si="8">AH7-AI7</f>
        <v>0</v>
      </c>
      <c r="AK7" s="20" t="str">
        <f>IFERROR(IF(AI7&lt;0,-(AH7-AI7)/AI7,(AH7-AI7)/AI7),"")</f>
        <v/>
      </c>
      <c r="AL7" s="143"/>
      <c r="AM7" s="136"/>
      <c r="AN7" s="13">
        <f t="shared" ref="AN7:AN78" si="9">AL7-AM7</f>
        <v>0</v>
      </c>
      <c r="AO7" s="244" t="str">
        <f t="shared" ref="AO7:AO78" si="10">IFERROR(IF(AM7&lt;0,-(AL7-AM7)/AM7,(AL7-AM7)/AM7),"")</f>
        <v/>
      </c>
      <c r="AP7" s="316" t="s">
        <v>95</v>
      </c>
      <c r="AR7" s="1">
        <f t="shared" ref="AR7:AR78" si="11">(N7+R7-V7)-Z7</f>
        <v>0</v>
      </c>
      <c r="AS7" s="1">
        <f t="shared" ref="AS7:AS78" si="12">(O7+S7-W7)-AA7</f>
        <v>0</v>
      </c>
      <c r="AT7" s="1">
        <f t="shared" ref="AT7:AT78" si="13">(Z7-AD7+AH7)-AL7</f>
        <v>0</v>
      </c>
      <c r="AU7" s="1">
        <f t="shared" ref="AU7:AU78" si="14">(AA7-AE7+AI7)-AM7</f>
        <v>0</v>
      </c>
    </row>
    <row r="8" spans="1:731" ht="15" customHeight="1" thickBot="1" x14ac:dyDescent="0.35">
      <c r="A8" s="408"/>
      <c r="B8" s="435"/>
      <c r="C8" s="297"/>
      <c r="D8" s="267" t="s">
        <v>11</v>
      </c>
      <c r="E8" s="268" t="s">
        <v>15</v>
      </c>
      <c r="F8" s="269">
        <f t="shared" si="0"/>
        <v>0</v>
      </c>
      <c r="G8" s="270">
        <f t="shared" si="0"/>
        <v>0</v>
      </c>
      <c r="H8" s="247">
        <f t="shared" ref="H8:H23" si="15">F8-G8</f>
        <v>0</v>
      </c>
      <c r="I8" s="32" t="str">
        <f t="shared" si="1"/>
        <v/>
      </c>
      <c r="J8" s="271">
        <v>0</v>
      </c>
      <c r="K8" s="246">
        <v>0</v>
      </c>
      <c r="L8" s="247">
        <f t="shared" ref="L8:L23" si="16">J8-K8</f>
        <v>0</v>
      </c>
      <c r="M8" s="32">
        <v>0</v>
      </c>
      <c r="N8" s="271">
        <v>0</v>
      </c>
      <c r="O8" s="246">
        <v>0</v>
      </c>
      <c r="P8" s="247">
        <f t="shared" ref="P8:P22" si="17">N8-O8</f>
        <v>0</v>
      </c>
      <c r="Q8" s="32">
        <v>0</v>
      </c>
      <c r="R8" s="271">
        <f>48917/1000</f>
        <v>48.917000000000002</v>
      </c>
      <c r="S8" s="246">
        <f>49333/1000</f>
        <v>49.332999999999998</v>
      </c>
      <c r="T8" s="247">
        <f t="shared" ref="T8:T22" si="18">R8-S8</f>
        <v>-0.41599999999999682</v>
      </c>
      <c r="U8" s="32">
        <v>0</v>
      </c>
      <c r="V8" s="271">
        <f>20941.13/1000</f>
        <v>20.941130000000001</v>
      </c>
      <c r="W8" s="246">
        <f>39775.84/1000</f>
        <v>39.775839999999995</v>
      </c>
      <c r="X8" s="247">
        <f t="shared" ref="X8:X22" si="19">V8-W8</f>
        <v>-18.834709999999994</v>
      </c>
      <c r="Y8" s="32">
        <f t="shared" si="4"/>
        <v>-0.47352136372229969</v>
      </c>
      <c r="Z8" s="271">
        <f>27976.72/1000</f>
        <v>27.97672</v>
      </c>
      <c r="AA8" s="246">
        <f>9557.49/1000</f>
        <v>9.5574899999999996</v>
      </c>
      <c r="AB8" s="247">
        <f t="shared" ref="AB8:AB22" si="20">Z8-AA8</f>
        <v>18.419229999999999</v>
      </c>
      <c r="AC8" s="35">
        <f t="shared" si="5"/>
        <v>1.9272036905087004</v>
      </c>
      <c r="AD8" s="248">
        <v>0</v>
      </c>
      <c r="AE8" s="249">
        <v>0</v>
      </c>
      <c r="AF8" s="253">
        <f t="shared" si="6"/>
        <v>0</v>
      </c>
      <c r="AG8" s="272">
        <v>0</v>
      </c>
      <c r="AH8" s="251">
        <v>0</v>
      </c>
      <c r="AI8" s="252">
        <v>0</v>
      </c>
      <c r="AJ8" s="253">
        <f t="shared" si="8"/>
        <v>0</v>
      </c>
      <c r="AK8" s="35">
        <v>0</v>
      </c>
      <c r="AL8" s="251">
        <f>Z8</f>
        <v>27.97672</v>
      </c>
      <c r="AM8" s="273">
        <f>AA8</f>
        <v>9.5574899999999996</v>
      </c>
      <c r="AN8" s="253">
        <f t="shared" si="9"/>
        <v>18.419229999999999</v>
      </c>
      <c r="AO8" s="254">
        <f t="shared" si="10"/>
        <v>1.9272036905087004</v>
      </c>
      <c r="AP8" s="88"/>
      <c r="AR8" s="1">
        <f t="shared" si="11"/>
        <v>-8.4999999999979536E-4</v>
      </c>
      <c r="AS8" s="1">
        <f t="shared" si="12"/>
        <v>-3.2999999999638874E-4</v>
      </c>
      <c r="AT8" s="1">
        <f t="shared" si="13"/>
        <v>0</v>
      </c>
      <c r="AU8" s="1">
        <f t="shared" si="14"/>
        <v>0</v>
      </c>
      <c r="JJ8" s="22"/>
      <c r="JK8" s="22"/>
      <c r="JL8" s="22"/>
      <c r="JM8" s="22"/>
      <c r="JN8" s="22"/>
      <c r="JO8" s="22"/>
      <c r="JP8" s="22"/>
      <c r="JQ8" s="22"/>
      <c r="JR8" s="22"/>
      <c r="JS8" s="22"/>
      <c r="JT8" s="22"/>
      <c r="JU8" s="22"/>
      <c r="JV8" s="22"/>
      <c r="JW8" s="22"/>
      <c r="JX8" s="22"/>
      <c r="JY8" s="22"/>
      <c r="JZ8" s="22"/>
      <c r="KA8" s="22"/>
      <c r="KB8" s="22"/>
      <c r="KC8" s="22"/>
      <c r="KD8" s="22"/>
      <c r="KE8" s="22"/>
      <c r="KF8" s="22"/>
      <c r="KG8" s="22"/>
      <c r="KH8" s="22"/>
      <c r="KI8" s="22"/>
      <c r="KJ8" s="22"/>
      <c r="KK8" s="22"/>
      <c r="KL8" s="22"/>
      <c r="KM8" s="22"/>
      <c r="KN8" s="22"/>
      <c r="KO8" s="22"/>
      <c r="KP8" s="22"/>
      <c r="KQ8" s="22"/>
      <c r="KR8" s="22"/>
      <c r="KS8" s="22"/>
      <c r="KT8" s="22"/>
      <c r="KU8" s="22"/>
      <c r="KV8" s="22"/>
      <c r="KW8" s="22"/>
      <c r="KX8" s="22"/>
      <c r="KY8" s="22"/>
      <c r="KZ8" s="22"/>
      <c r="LA8" s="22"/>
      <c r="LB8" s="22"/>
      <c r="LC8" s="22"/>
      <c r="LD8" s="22"/>
      <c r="LE8" s="22"/>
      <c r="LF8" s="22"/>
      <c r="LG8" s="22"/>
      <c r="LH8" s="22"/>
      <c r="LI8" s="22"/>
      <c r="LJ8" s="22"/>
      <c r="LK8" s="22"/>
      <c r="LL8" s="22"/>
      <c r="LM8" s="22"/>
      <c r="LN8" s="22"/>
      <c r="LO8" s="22"/>
      <c r="LP8" s="22"/>
      <c r="LQ8" s="22"/>
      <c r="LR8" s="22"/>
      <c r="LS8" s="22"/>
      <c r="LT8" s="22"/>
      <c r="LU8" s="22"/>
      <c r="LV8" s="22"/>
      <c r="LW8" s="22"/>
      <c r="LX8" s="22"/>
      <c r="LY8" s="22"/>
      <c r="LZ8" s="22"/>
      <c r="MA8" s="22"/>
      <c r="MB8" s="22"/>
      <c r="MC8" s="22"/>
      <c r="MD8" s="22"/>
      <c r="ME8" s="22"/>
      <c r="MF8" s="22"/>
      <c r="MG8" s="22"/>
      <c r="MH8" s="22"/>
      <c r="MI8" s="22"/>
      <c r="MJ8" s="22"/>
      <c r="MK8" s="22"/>
      <c r="ML8" s="22"/>
      <c r="MM8" s="22"/>
      <c r="MN8" s="22"/>
      <c r="MO8" s="22"/>
      <c r="MP8" s="22"/>
      <c r="MQ8" s="22"/>
      <c r="MR8" s="22"/>
      <c r="MS8" s="22"/>
      <c r="MT8" s="22"/>
      <c r="MU8" s="22"/>
      <c r="MV8" s="22"/>
      <c r="MW8" s="22"/>
      <c r="MX8" s="22"/>
      <c r="MY8" s="22"/>
      <c r="MZ8" s="22"/>
      <c r="NA8" s="22"/>
      <c r="NB8" s="22"/>
      <c r="NC8" s="22"/>
      <c r="ND8" s="22"/>
      <c r="NE8" s="22"/>
      <c r="NF8" s="22"/>
      <c r="NG8" s="22"/>
      <c r="NH8" s="22"/>
      <c r="NI8" s="22"/>
      <c r="NJ8" s="22"/>
      <c r="NK8" s="22"/>
      <c r="NL8" s="22"/>
      <c r="NM8" s="22"/>
      <c r="NN8" s="22"/>
      <c r="NO8" s="22"/>
      <c r="NP8" s="22"/>
      <c r="NQ8" s="22"/>
      <c r="NR8" s="22"/>
      <c r="NS8" s="22"/>
      <c r="NT8" s="22"/>
      <c r="NU8" s="22"/>
      <c r="NV8" s="22"/>
      <c r="NW8" s="22"/>
      <c r="NX8" s="22"/>
      <c r="NY8" s="22"/>
      <c r="NZ8" s="22"/>
      <c r="OA8" s="22"/>
      <c r="OB8" s="22"/>
      <c r="OC8" s="22"/>
      <c r="OD8" s="22"/>
      <c r="OE8" s="22"/>
      <c r="OF8" s="22"/>
      <c r="OG8" s="22"/>
      <c r="OH8" s="22"/>
      <c r="OI8" s="22"/>
      <c r="OJ8" s="22"/>
      <c r="OK8" s="22"/>
      <c r="OL8" s="22"/>
      <c r="OM8" s="22"/>
      <c r="ON8" s="22"/>
      <c r="OO8" s="22"/>
      <c r="OP8" s="22"/>
      <c r="OQ8" s="22"/>
      <c r="OR8" s="22"/>
      <c r="OS8" s="22"/>
      <c r="OT8" s="22"/>
      <c r="OU8" s="22"/>
      <c r="OV8" s="22"/>
      <c r="OW8" s="22"/>
      <c r="OX8" s="22"/>
      <c r="OY8" s="22"/>
      <c r="OZ8" s="22"/>
      <c r="PA8" s="22"/>
      <c r="PB8" s="22"/>
      <c r="PC8" s="22"/>
      <c r="PD8" s="22"/>
      <c r="PE8" s="22"/>
      <c r="PF8" s="22"/>
      <c r="PG8" s="22"/>
      <c r="PH8" s="22"/>
      <c r="PI8" s="22"/>
      <c r="PJ8" s="22"/>
      <c r="PK8" s="22"/>
      <c r="PL8" s="22"/>
      <c r="PM8" s="22"/>
      <c r="PN8" s="22"/>
      <c r="PO8" s="22"/>
      <c r="PP8" s="22"/>
      <c r="PQ8" s="22"/>
      <c r="PR8" s="22"/>
      <c r="PS8" s="22"/>
      <c r="PT8" s="22"/>
      <c r="PU8" s="22"/>
      <c r="PV8" s="22"/>
      <c r="PW8" s="22"/>
      <c r="PX8" s="22"/>
      <c r="PY8" s="22"/>
      <c r="PZ8" s="22"/>
      <c r="QA8" s="22"/>
      <c r="QB8" s="22"/>
      <c r="QC8" s="22"/>
      <c r="QD8" s="22"/>
      <c r="QE8" s="22"/>
      <c r="QF8" s="22"/>
      <c r="QG8" s="22"/>
      <c r="QH8" s="22"/>
      <c r="QI8" s="22"/>
      <c r="QJ8" s="22"/>
      <c r="QK8" s="22"/>
      <c r="QL8" s="22"/>
      <c r="QM8" s="22"/>
      <c r="QN8" s="22"/>
      <c r="QO8" s="22"/>
      <c r="QP8" s="22"/>
      <c r="QQ8" s="22"/>
      <c r="QR8" s="22"/>
      <c r="QS8" s="22"/>
      <c r="QT8" s="22"/>
      <c r="QU8" s="22"/>
      <c r="QV8" s="22"/>
      <c r="QW8" s="22"/>
      <c r="QX8" s="22"/>
      <c r="QY8" s="22"/>
      <c r="QZ8" s="22"/>
      <c r="RA8" s="22"/>
      <c r="RB8" s="22"/>
      <c r="RC8" s="22"/>
      <c r="RD8" s="22"/>
      <c r="RE8" s="22"/>
      <c r="RF8" s="22"/>
      <c r="RG8" s="22"/>
      <c r="RH8" s="22"/>
      <c r="RI8" s="22"/>
      <c r="RJ8" s="22"/>
      <c r="RK8" s="22"/>
      <c r="RL8" s="22"/>
      <c r="RM8" s="22"/>
      <c r="RN8" s="22"/>
      <c r="RO8" s="22"/>
      <c r="RP8" s="22"/>
      <c r="RQ8" s="22"/>
      <c r="RR8" s="22"/>
      <c r="RS8" s="22"/>
      <c r="RT8" s="22"/>
      <c r="RU8" s="22"/>
      <c r="RV8" s="22"/>
      <c r="RW8" s="22"/>
      <c r="RX8" s="22"/>
      <c r="RY8" s="22"/>
      <c r="RZ8" s="22"/>
      <c r="SA8" s="22"/>
      <c r="SB8" s="22"/>
      <c r="SC8" s="22"/>
      <c r="SD8" s="22"/>
      <c r="SE8" s="22"/>
      <c r="SF8" s="22"/>
      <c r="SG8" s="22"/>
      <c r="SH8" s="22"/>
      <c r="SI8" s="22"/>
      <c r="SJ8" s="22"/>
      <c r="SK8" s="22"/>
      <c r="SL8" s="22"/>
      <c r="SM8" s="22"/>
      <c r="SN8" s="22"/>
      <c r="SO8" s="22"/>
      <c r="SP8" s="22"/>
      <c r="SQ8" s="22"/>
      <c r="SR8" s="22"/>
      <c r="SS8" s="22"/>
      <c r="ST8" s="22"/>
      <c r="SU8" s="22"/>
      <c r="SV8" s="22"/>
      <c r="SW8" s="22"/>
      <c r="SX8" s="22"/>
      <c r="SY8" s="22"/>
      <c r="SZ8" s="22"/>
      <c r="TA8" s="22"/>
      <c r="TB8" s="22"/>
      <c r="TC8" s="22"/>
      <c r="TD8" s="22"/>
      <c r="TE8" s="22"/>
      <c r="TF8" s="22"/>
      <c r="TG8" s="22"/>
      <c r="TH8" s="22"/>
      <c r="TI8" s="22"/>
      <c r="TJ8" s="22"/>
      <c r="TK8" s="22"/>
      <c r="TL8" s="22"/>
      <c r="TM8" s="22"/>
      <c r="TN8" s="22"/>
      <c r="TO8" s="22"/>
      <c r="TP8" s="22"/>
      <c r="TQ8" s="22"/>
      <c r="TR8" s="22"/>
      <c r="TS8" s="22"/>
      <c r="TT8" s="22"/>
      <c r="TU8" s="22"/>
      <c r="TV8" s="22"/>
      <c r="TW8" s="22"/>
      <c r="TX8" s="22"/>
      <c r="TY8" s="22"/>
      <c r="TZ8" s="22"/>
      <c r="UA8" s="22"/>
      <c r="UB8" s="22"/>
      <c r="UC8" s="22"/>
      <c r="UD8" s="22"/>
      <c r="UE8" s="22"/>
      <c r="UF8" s="22"/>
      <c r="UG8" s="22"/>
      <c r="UH8" s="22"/>
      <c r="UI8" s="22"/>
      <c r="UJ8" s="22"/>
      <c r="UK8" s="22"/>
      <c r="UL8" s="22"/>
      <c r="UM8" s="22"/>
      <c r="UN8" s="22"/>
      <c r="UO8" s="22"/>
      <c r="UP8" s="22"/>
      <c r="UQ8" s="22"/>
      <c r="UR8" s="22"/>
      <c r="US8" s="22"/>
      <c r="UT8" s="22"/>
      <c r="UU8" s="22"/>
      <c r="UV8" s="22"/>
      <c r="UW8" s="22"/>
      <c r="UX8" s="22"/>
      <c r="UY8" s="22"/>
      <c r="UZ8" s="22"/>
      <c r="VA8" s="22"/>
      <c r="VB8" s="22"/>
      <c r="VC8" s="22"/>
      <c r="VD8" s="22"/>
      <c r="VE8" s="22"/>
      <c r="VF8" s="22"/>
      <c r="VG8" s="22"/>
      <c r="VH8" s="22"/>
      <c r="VI8" s="22"/>
      <c r="VJ8" s="22"/>
      <c r="VK8" s="22"/>
      <c r="VL8" s="22"/>
      <c r="VM8" s="22"/>
      <c r="VN8" s="22"/>
      <c r="VO8" s="22"/>
      <c r="VP8" s="22"/>
      <c r="VQ8" s="22"/>
      <c r="VR8" s="22"/>
      <c r="VS8" s="22"/>
      <c r="VT8" s="22"/>
      <c r="VU8" s="22"/>
      <c r="VV8" s="22"/>
      <c r="VW8" s="22"/>
      <c r="VX8" s="22"/>
      <c r="VY8" s="22"/>
      <c r="VZ8" s="22"/>
      <c r="WA8" s="22"/>
      <c r="WB8" s="22"/>
      <c r="WC8" s="22"/>
      <c r="WD8" s="22"/>
      <c r="WE8" s="22"/>
      <c r="WF8" s="22"/>
      <c r="WG8" s="22"/>
      <c r="WH8" s="22"/>
      <c r="WI8" s="22"/>
      <c r="WJ8" s="22"/>
      <c r="WK8" s="22"/>
      <c r="WL8" s="22"/>
      <c r="WM8" s="22"/>
      <c r="WN8" s="22"/>
      <c r="WO8" s="22"/>
      <c r="WP8" s="22"/>
      <c r="WQ8" s="22"/>
      <c r="WR8" s="22"/>
      <c r="WS8" s="22"/>
      <c r="WT8" s="22"/>
      <c r="WU8" s="22"/>
      <c r="WV8" s="22"/>
      <c r="WW8" s="22"/>
      <c r="WX8" s="22"/>
      <c r="WY8" s="22"/>
      <c r="WZ8" s="22"/>
      <c r="XA8" s="22"/>
      <c r="XB8" s="22"/>
      <c r="XC8" s="22"/>
      <c r="XD8" s="22"/>
      <c r="XE8" s="22"/>
      <c r="XF8" s="22"/>
      <c r="XG8" s="22"/>
      <c r="XH8" s="22"/>
      <c r="XI8" s="22"/>
      <c r="XJ8" s="22"/>
      <c r="XK8" s="22"/>
      <c r="XL8" s="22"/>
      <c r="XM8" s="22"/>
      <c r="XN8" s="22"/>
      <c r="XO8" s="22"/>
      <c r="XP8" s="22"/>
      <c r="XQ8" s="22"/>
      <c r="XR8" s="22"/>
      <c r="XS8" s="22"/>
      <c r="XT8" s="22"/>
      <c r="XU8" s="22"/>
      <c r="XV8" s="22"/>
      <c r="XW8" s="22"/>
      <c r="XX8" s="22"/>
      <c r="XY8" s="22"/>
      <c r="XZ8" s="22"/>
      <c r="YA8" s="22"/>
      <c r="YB8" s="22"/>
      <c r="YC8" s="22"/>
      <c r="YD8" s="22"/>
      <c r="YE8" s="22"/>
      <c r="YF8" s="22"/>
      <c r="YG8" s="22"/>
      <c r="YH8" s="22"/>
      <c r="YI8" s="22"/>
      <c r="YJ8" s="22"/>
      <c r="YK8" s="22"/>
      <c r="YL8" s="22"/>
      <c r="YM8" s="22"/>
      <c r="YN8" s="22"/>
      <c r="YO8" s="22"/>
      <c r="YP8" s="22"/>
      <c r="YQ8" s="22"/>
      <c r="YR8" s="22"/>
      <c r="YS8" s="22"/>
      <c r="YT8" s="22"/>
      <c r="YU8" s="22"/>
      <c r="YV8" s="22"/>
      <c r="YW8" s="22"/>
      <c r="YX8" s="22"/>
      <c r="YY8" s="22"/>
      <c r="YZ8" s="22"/>
      <c r="ZA8" s="22"/>
      <c r="ZB8" s="22"/>
      <c r="ZC8" s="22"/>
      <c r="ZD8" s="22"/>
      <c r="ZE8" s="22"/>
      <c r="ZF8" s="22"/>
      <c r="ZG8" s="22"/>
      <c r="ZH8" s="22"/>
      <c r="ZI8" s="22"/>
      <c r="ZJ8" s="22"/>
      <c r="ZK8" s="22"/>
      <c r="ZL8" s="22"/>
      <c r="ZM8" s="22"/>
      <c r="ZN8" s="22"/>
      <c r="ZO8" s="22"/>
      <c r="ZP8" s="22"/>
      <c r="ZQ8" s="22"/>
      <c r="ZR8" s="22"/>
      <c r="ZS8" s="22"/>
      <c r="ZT8" s="22"/>
      <c r="ZU8" s="22"/>
      <c r="ZV8" s="22"/>
      <c r="ZW8" s="22"/>
      <c r="ZX8" s="22"/>
      <c r="ZY8" s="22"/>
      <c r="ZZ8" s="22"/>
      <c r="AAA8" s="22"/>
      <c r="AAB8" s="22"/>
      <c r="AAC8" s="22"/>
      <c r="AAD8" s="22"/>
      <c r="AAE8" s="22"/>
      <c r="AAF8" s="22"/>
      <c r="AAG8" s="22"/>
      <c r="AAH8" s="22"/>
      <c r="AAI8" s="22"/>
      <c r="AAJ8" s="22"/>
      <c r="AAK8" s="22"/>
      <c r="AAL8" s="22"/>
      <c r="AAM8" s="22"/>
      <c r="AAN8" s="22"/>
      <c r="AAO8" s="22"/>
      <c r="AAP8" s="22"/>
      <c r="AAQ8" s="22"/>
      <c r="AAR8" s="22"/>
      <c r="AAS8" s="22"/>
      <c r="AAT8" s="22"/>
      <c r="AAU8" s="22"/>
      <c r="AAV8" s="22"/>
      <c r="AAW8" s="22"/>
      <c r="AAX8" s="22"/>
      <c r="AAY8" s="22"/>
      <c r="AAZ8" s="22"/>
      <c r="ABA8" s="22"/>
      <c r="ABB8" s="22"/>
      <c r="ABC8" s="22"/>
    </row>
    <row r="9" spans="1:731" s="290" customFormat="1" ht="15" customHeight="1" thickBot="1" x14ac:dyDescent="0.35">
      <c r="A9" s="36"/>
      <c r="B9" s="435"/>
      <c r="C9" s="298"/>
      <c r="D9" s="197"/>
      <c r="E9" s="37" t="s">
        <v>16</v>
      </c>
      <c r="F9" s="38">
        <f>SUM(F6:F8)</f>
        <v>357.37697058441955</v>
      </c>
      <c r="G9" s="38">
        <f>SUM(G6:G8)</f>
        <v>358.79909332229369</v>
      </c>
      <c r="H9" s="40">
        <f t="shared" si="15"/>
        <v>-1.4221227378741332</v>
      </c>
      <c r="I9" s="169">
        <f t="shared" si="1"/>
        <v>-3.9635627969569643E-3</v>
      </c>
      <c r="J9" s="38">
        <f>SUM(J6:J8)</f>
        <v>106688.174</v>
      </c>
      <c r="K9" s="39">
        <f>SUM(K6:K8)</f>
        <v>107112.72199999999</v>
      </c>
      <c r="L9" s="40">
        <f t="shared" si="16"/>
        <v>-424.54799999999523</v>
      </c>
      <c r="M9" s="169">
        <f t="shared" ref="M9:M74" si="21">IFERROR(IF(K9&lt;0,-(J9-K9)/K9,(J9-K9)/K9),"")</f>
        <v>-3.9635627969569782E-3</v>
      </c>
      <c r="N9" s="38">
        <f>SUM(N6:N8)</f>
        <v>105796.334</v>
      </c>
      <c r="O9" s="39">
        <f>SUM(O6:O8)</f>
        <v>105950.424</v>
      </c>
      <c r="P9" s="40">
        <f t="shared" si="17"/>
        <v>-154.08999999999651</v>
      </c>
      <c r="Q9" s="169">
        <f t="shared" si="2"/>
        <v>-1.4543594464520172E-3</v>
      </c>
      <c r="R9" s="39">
        <f>SUM(R6:R8)</f>
        <v>-2435.06</v>
      </c>
      <c r="S9" s="39">
        <f>SUM(S6:S8)</f>
        <v>517.89200000000005</v>
      </c>
      <c r="T9" s="40">
        <f t="shared" si="18"/>
        <v>-2952.9520000000002</v>
      </c>
      <c r="U9" s="169">
        <f t="shared" si="3"/>
        <v>-5.7018683432066917</v>
      </c>
      <c r="V9" s="39">
        <f>SUM(V6:V8)</f>
        <v>32022.573130000001</v>
      </c>
      <c r="W9" s="39">
        <f>SUM(W6:W8)</f>
        <v>20449.043839999998</v>
      </c>
      <c r="X9" s="40">
        <f t="shared" si="19"/>
        <v>11573.529290000002</v>
      </c>
      <c r="Y9" s="169">
        <f t="shared" si="4"/>
        <v>0.56596921501831954</v>
      </c>
      <c r="Z9" s="39">
        <f>SUM(Z6:Z8)</f>
        <v>71338.700720000008</v>
      </c>
      <c r="AA9" s="39">
        <f>SUM(AA6:AA8)</f>
        <v>86019.272490000003</v>
      </c>
      <c r="AB9" s="40">
        <f t="shared" si="20"/>
        <v>-14680.571769999995</v>
      </c>
      <c r="AC9" s="170">
        <f t="shared" si="5"/>
        <v>-0.17066607685744675</v>
      </c>
      <c r="AD9" s="281">
        <f>SUM(AD6:AD8)</f>
        <v>0</v>
      </c>
      <c r="AE9" s="281">
        <f>SUM(AE6:AE8)</f>
        <v>0</v>
      </c>
      <c r="AF9" s="40">
        <f t="shared" si="6"/>
        <v>0</v>
      </c>
      <c r="AG9" s="282" t="str">
        <f t="shared" si="7"/>
        <v/>
      </c>
      <c r="AH9" s="283">
        <f>SUM(AH6:AH8)</f>
        <v>0</v>
      </c>
      <c r="AI9" s="174">
        <f>SUM(AI6:AI8)</f>
        <v>0</v>
      </c>
      <c r="AJ9" s="40">
        <f t="shared" si="8"/>
        <v>0</v>
      </c>
      <c r="AK9" s="171" t="str">
        <f>IFERROR(IF(AI9&lt;0,-(AH9-AI9)/AI9,(AH9-AI9)/AI9),"")</f>
        <v/>
      </c>
      <c r="AL9" s="174">
        <f>SUM(AL6:AL8)</f>
        <v>71338.591720000011</v>
      </c>
      <c r="AM9" s="171">
        <f>SUM(AM6:AM8)</f>
        <v>86019.272490000003</v>
      </c>
      <c r="AN9" s="40">
        <f t="shared" si="9"/>
        <v>-14680.680769999992</v>
      </c>
      <c r="AO9" s="193">
        <f t="shared" si="10"/>
        <v>-0.1706673440153387</v>
      </c>
      <c r="AP9" s="317"/>
      <c r="AQ9" s="288"/>
      <c r="AR9" s="289">
        <f t="shared" si="11"/>
        <v>1.4999999257270247E-4</v>
      </c>
      <c r="AS9" s="289">
        <f t="shared" si="12"/>
        <v>-3.2999999530147761E-4</v>
      </c>
      <c r="AT9" s="289">
        <f t="shared" si="13"/>
        <v>0.10899999999674037</v>
      </c>
      <c r="AU9" s="289">
        <f t="shared" si="14"/>
        <v>0</v>
      </c>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c r="CY9" s="177"/>
      <c r="CZ9" s="177"/>
      <c r="DA9" s="177"/>
      <c r="DB9" s="177"/>
      <c r="DC9" s="177"/>
      <c r="DD9" s="177"/>
      <c r="DE9" s="177"/>
      <c r="DF9" s="177"/>
      <c r="DG9" s="177"/>
      <c r="DH9" s="177"/>
      <c r="DI9" s="177"/>
      <c r="DJ9" s="177"/>
      <c r="DK9" s="177"/>
      <c r="DL9" s="177"/>
      <c r="DM9" s="177"/>
      <c r="DN9" s="177"/>
      <c r="DO9" s="177"/>
      <c r="DP9" s="177"/>
      <c r="DQ9" s="177"/>
      <c r="DR9" s="177"/>
      <c r="DS9" s="177"/>
      <c r="DT9" s="177"/>
      <c r="DU9" s="177"/>
      <c r="DV9" s="177"/>
      <c r="DW9" s="177"/>
      <c r="DX9" s="177"/>
      <c r="DY9" s="177"/>
      <c r="DZ9" s="177"/>
      <c r="EA9" s="177"/>
      <c r="EB9" s="177"/>
      <c r="EC9" s="177"/>
      <c r="ED9" s="177"/>
      <c r="EE9" s="177"/>
      <c r="EF9" s="177"/>
      <c r="EG9" s="177"/>
      <c r="EH9" s="177"/>
      <c r="EI9" s="177"/>
      <c r="EJ9" s="177"/>
      <c r="EK9" s="177"/>
      <c r="EL9" s="177"/>
      <c r="EM9" s="177"/>
      <c r="EN9" s="177"/>
      <c r="EO9" s="177"/>
      <c r="EP9" s="177"/>
      <c r="EQ9" s="177"/>
      <c r="ER9" s="177"/>
      <c r="ES9" s="177"/>
      <c r="ET9" s="177"/>
      <c r="EU9" s="177"/>
      <c r="EV9" s="177"/>
      <c r="EW9" s="177"/>
      <c r="EX9" s="177"/>
      <c r="EY9" s="177"/>
      <c r="EZ9" s="177"/>
      <c r="FA9" s="177"/>
      <c r="FB9" s="177"/>
      <c r="FC9" s="177"/>
      <c r="FD9" s="177"/>
      <c r="FE9" s="177"/>
      <c r="FF9" s="177"/>
      <c r="FG9" s="177"/>
      <c r="FH9" s="177"/>
      <c r="FI9" s="177"/>
      <c r="FJ9" s="177"/>
      <c r="FK9" s="177"/>
      <c r="FL9" s="177"/>
      <c r="FM9" s="177"/>
      <c r="FN9" s="177"/>
      <c r="FO9" s="177"/>
      <c r="FP9" s="177"/>
      <c r="FQ9" s="177"/>
      <c r="FR9" s="177"/>
      <c r="FS9" s="177"/>
      <c r="FT9" s="177"/>
      <c r="FU9" s="177"/>
      <c r="FV9" s="177"/>
      <c r="FW9" s="177"/>
      <c r="FX9" s="177"/>
      <c r="FY9" s="177"/>
      <c r="FZ9" s="177"/>
      <c r="GA9" s="177"/>
      <c r="GB9" s="177"/>
      <c r="GC9" s="177"/>
      <c r="GD9" s="177"/>
      <c r="GE9" s="177"/>
      <c r="GF9" s="177"/>
      <c r="GG9" s="177"/>
      <c r="GH9" s="177"/>
      <c r="GI9" s="177"/>
      <c r="GJ9" s="177"/>
      <c r="GK9" s="177"/>
      <c r="GL9" s="177"/>
      <c r="GM9" s="177"/>
      <c r="GN9" s="177"/>
      <c r="GO9" s="177"/>
      <c r="GP9" s="177"/>
      <c r="GQ9" s="177"/>
      <c r="GR9" s="177"/>
      <c r="GS9" s="177"/>
      <c r="GT9" s="177"/>
      <c r="GU9" s="177"/>
      <c r="GV9" s="177"/>
      <c r="GW9" s="177"/>
      <c r="GX9" s="177"/>
      <c r="GY9" s="177"/>
      <c r="GZ9" s="177"/>
      <c r="HA9" s="177"/>
      <c r="HB9" s="177"/>
      <c r="HC9" s="177"/>
      <c r="HD9" s="177"/>
      <c r="HE9" s="177"/>
      <c r="HF9" s="177"/>
      <c r="HG9" s="177"/>
      <c r="HH9" s="177"/>
      <c r="HI9" s="177"/>
      <c r="HJ9" s="177"/>
      <c r="HK9" s="177"/>
      <c r="HL9" s="177"/>
      <c r="HM9" s="177"/>
      <c r="HN9" s="177"/>
      <c r="HO9" s="177"/>
      <c r="HP9" s="177"/>
      <c r="HQ9" s="177"/>
      <c r="HR9" s="177"/>
      <c r="HS9" s="177"/>
      <c r="HT9" s="177"/>
      <c r="HU9" s="177"/>
      <c r="HV9" s="177"/>
      <c r="HW9" s="177"/>
      <c r="HX9" s="177"/>
      <c r="HY9" s="177"/>
      <c r="HZ9" s="177"/>
      <c r="IA9" s="177"/>
      <c r="IB9" s="177"/>
      <c r="IC9" s="177"/>
      <c r="ID9" s="177"/>
      <c r="IE9" s="177"/>
      <c r="IF9" s="177"/>
      <c r="IG9" s="177"/>
      <c r="IH9" s="177"/>
      <c r="II9" s="177"/>
      <c r="IJ9" s="177"/>
      <c r="IK9" s="177"/>
      <c r="IL9" s="177"/>
      <c r="IM9" s="177"/>
      <c r="IN9" s="177"/>
      <c r="IO9" s="177"/>
      <c r="IP9" s="177"/>
      <c r="IQ9" s="177"/>
      <c r="IR9" s="177"/>
      <c r="IS9" s="177"/>
      <c r="IT9" s="177"/>
      <c r="IU9" s="177"/>
      <c r="IV9" s="177"/>
      <c r="IW9" s="177"/>
      <c r="IX9" s="177"/>
      <c r="IY9" s="177"/>
      <c r="IZ9" s="177"/>
      <c r="JA9" s="177"/>
      <c r="JB9" s="177"/>
      <c r="JC9" s="177"/>
      <c r="JD9" s="177"/>
      <c r="JE9" s="177"/>
      <c r="JF9" s="177"/>
      <c r="JG9" s="177"/>
      <c r="JH9" s="177"/>
      <c r="JI9" s="177"/>
      <c r="JJ9" s="177"/>
      <c r="JK9" s="177"/>
      <c r="JL9" s="177"/>
      <c r="JM9" s="177"/>
      <c r="JN9" s="177"/>
      <c r="JO9" s="177"/>
      <c r="JP9" s="177"/>
      <c r="JQ9" s="177"/>
      <c r="JR9" s="177"/>
      <c r="JS9" s="177"/>
      <c r="JT9" s="177"/>
      <c r="JU9" s="177"/>
      <c r="JV9" s="177"/>
      <c r="JW9" s="177"/>
      <c r="JX9" s="177"/>
      <c r="JY9" s="177"/>
      <c r="JZ9" s="177"/>
      <c r="KA9" s="177"/>
      <c r="KB9" s="177"/>
      <c r="KC9" s="177"/>
      <c r="KD9" s="177"/>
      <c r="KE9" s="177"/>
      <c r="KF9" s="177"/>
      <c r="KG9" s="177"/>
      <c r="KH9" s="177"/>
      <c r="KI9" s="177"/>
      <c r="KJ9" s="177"/>
      <c r="KK9" s="177"/>
      <c r="KL9" s="177"/>
      <c r="KM9" s="177"/>
      <c r="KN9" s="177"/>
      <c r="KO9" s="177"/>
      <c r="KP9" s="177"/>
      <c r="KQ9" s="177"/>
      <c r="KR9" s="177"/>
      <c r="KS9" s="177"/>
      <c r="KT9" s="177"/>
      <c r="KU9" s="177"/>
      <c r="KV9" s="177"/>
      <c r="KW9" s="177"/>
      <c r="KX9" s="177"/>
      <c r="KY9" s="177"/>
      <c r="KZ9" s="177"/>
      <c r="LA9" s="177"/>
      <c r="LB9" s="177"/>
      <c r="LC9" s="177"/>
      <c r="LD9" s="177"/>
      <c r="LE9" s="177"/>
      <c r="LF9" s="177"/>
      <c r="LG9" s="177"/>
      <c r="LH9" s="177"/>
      <c r="LI9" s="177"/>
      <c r="LJ9" s="177"/>
      <c r="LK9" s="177"/>
      <c r="LL9" s="177"/>
      <c r="LM9" s="177"/>
      <c r="LN9" s="177"/>
      <c r="LO9" s="177"/>
      <c r="LP9" s="177"/>
      <c r="LQ9" s="177"/>
      <c r="LR9" s="177"/>
      <c r="LS9" s="177"/>
      <c r="LT9" s="177"/>
      <c r="LU9" s="177"/>
      <c r="LV9" s="177"/>
      <c r="LW9" s="177"/>
      <c r="LX9" s="177"/>
      <c r="LY9" s="177"/>
      <c r="LZ9" s="177"/>
      <c r="MA9" s="177"/>
      <c r="MB9" s="177"/>
      <c r="MC9" s="177"/>
      <c r="MD9" s="177"/>
      <c r="ME9" s="177"/>
      <c r="MF9" s="177"/>
      <c r="MG9" s="177"/>
      <c r="MH9" s="177"/>
      <c r="MI9" s="177"/>
      <c r="MJ9" s="177"/>
      <c r="MK9" s="177"/>
      <c r="ML9" s="177"/>
      <c r="MM9" s="177"/>
      <c r="MN9" s="177"/>
      <c r="MO9" s="177"/>
      <c r="MP9" s="177"/>
      <c r="MQ9" s="177"/>
      <c r="MR9" s="177"/>
      <c r="MS9" s="177"/>
      <c r="MT9" s="177"/>
      <c r="MU9" s="177"/>
      <c r="MV9" s="177"/>
      <c r="MW9" s="177"/>
      <c r="MX9" s="177"/>
      <c r="MY9" s="177"/>
      <c r="MZ9" s="177"/>
      <c r="NA9" s="177"/>
      <c r="NB9" s="177"/>
      <c r="NC9" s="177"/>
      <c r="ND9" s="177"/>
      <c r="NE9" s="177"/>
      <c r="NF9" s="177"/>
      <c r="NG9" s="177"/>
      <c r="NH9" s="177"/>
      <c r="NI9" s="177"/>
      <c r="NJ9" s="177"/>
      <c r="NK9" s="177"/>
      <c r="NL9" s="177"/>
      <c r="NM9" s="177"/>
      <c r="NN9" s="177"/>
      <c r="NO9" s="177"/>
      <c r="NP9" s="177"/>
      <c r="NQ9" s="177"/>
      <c r="NR9" s="177"/>
      <c r="NS9" s="177"/>
      <c r="NT9" s="177"/>
      <c r="NU9" s="177"/>
      <c r="NV9" s="177"/>
      <c r="NW9" s="177"/>
      <c r="NX9" s="177"/>
      <c r="NY9" s="177"/>
      <c r="NZ9" s="177"/>
      <c r="OA9" s="177"/>
      <c r="OB9" s="177"/>
      <c r="OC9" s="177"/>
      <c r="OD9" s="177"/>
      <c r="OE9" s="177"/>
      <c r="OF9" s="177"/>
      <c r="OG9" s="177"/>
      <c r="OH9" s="177"/>
      <c r="OI9" s="177"/>
      <c r="OJ9" s="177"/>
      <c r="OK9" s="177"/>
      <c r="OL9" s="177"/>
      <c r="OM9" s="177"/>
      <c r="ON9" s="177"/>
      <c r="OO9" s="177"/>
      <c r="OP9" s="177"/>
      <c r="OQ9" s="177"/>
      <c r="OR9" s="177"/>
      <c r="OS9" s="177"/>
      <c r="OT9" s="177"/>
      <c r="OU9" s="177"/>
      <c r="OV9" s="177"/>
      <c r="OW9" s="177"/>
      <c r="OX9" s="177"/>
      <c r="OY9" s="177"/>
      <c r="OZ9" s="177"/>
      <c r="PA9" s="177"/>
      <c r="PB9" s="177"/>
      <c r="PC9" s="177"/>
      <c r="PD9" s="177"/>
      <c r="PE9" s="177"/>
      <c r="PF9" s="177"/>
      <c r="PG9" s="177"/>
      <c r="PH9" s="177"/>
      <c r="PI9" s="177"/>
      <c r="PJ9" s="177"/>
      <c r="PK9" s="177"/>
      <c r="PL9" s="177"/>
      <c r="PM9" s="177"/>
      <c r="PN9" s="177"/>
      <c r="PO9" s="177"/>
      <c r="PP9" s="177"/>
      <c r="PQ9" s="177"/>
      <c r="PR9" s="177"/>
      <c r="PS9" s="177"/>
      <c r="PT9" s="177"/>
      <c r="PU9" s="177"/>
      <c r="PV9" s="177"/>
      <c r="PW9" s="177"/>
      <c r="PX9" s="177"/>
      <c r="PY9" s="177"/>
      <c r="PZ9" s="177"/>
      <c r="QA9" s="177"/>
      <c r="QB9" s="177"/>
      <c r="QC9" s="177"/>
      <c r="QD9" s="177"/>
      <c r="QE9" s="177"/>
      <c r="QF9" s="177"/>
      <c r="QG9" s="177"/>
      <c r="QH9" s="177"/>
      <c r="QI9" s="177"/>
      <c r="QJ9" s="177"/>
      <c r="QK9" s="177"/>
      <c r="QL9" s="177"/>
      <c r="QM9" s="177"/>
      <c r="QN9" s="177"/>
      <c r="QO9" s="177"/>
      <c r="QP9" s="177"/>
      <c r="QQ9" s="177"/>
      <c r="QR9" s="177"/>
      <c r="QS9" s="177"/>
      <c r="QT9" s="177"/>
      <c r="QU9" s="177"/>
      <c r="QV9" s="177"/>
      <c r="QW9" s="177"/>
      <c r="QX9" s="177"/>
      <c r="QY9" s="177"/>
      <c r="QZ9" s="177"/>
      <c r="RA9" s="177"/>
      <c r="RB9" s="177"/>
      <c r="RC9" s="177"/>
      <c r="RD9" s="177"/>
      <c r="RE9" s="177"/>
      <c r="RF9" s="177"/>
      <c r="RG9" s="177"/>
      <c r="RH9" s="177"/>
      <c r="RI9" s="177"/>
      <c r="RJ9" s="177"/>
      <c r="RK9" s="177"/>
      <c r="RL9" s="177"/>
      <c r="RM9" s="177"/>
      <c r="RN9" s="177"/>
      <c r="RO9" s="177"/>
      <c r="RP9" s="177"/>
      <c r="RQ9" s="177"/>
      <c r="RR9" s="177"/>
      <c r="RS9" s="177"/>
      <c r="RT9" s="177"/>
      <c r="RU9" s="177"/>
      <c r="RV9" s="177"/>
      <c r="RW9" s="177"/>
      <c r="RX9" s="177"/>
      <c r="RY9" s="177"/>
      <c r="RZ9" s="177"/>
      <c r="SA9" s="177"/>
      <c r="SB9" s="177"/>
      <c r="SC9" s="177"/>
      <c r="SD9" s="177"/>
      <c r="SE9" s="177"/>
      <c r="SF9" s="177"/>
      <c r="SG9" s="177"/>
      <c r="SH9" s="177"/>
      <c r="SI9" s="177"/>
      <c r="SJ9" s="177"/>
      <c r="SK9" s="177"/>
      <c r="SL9" s="177"/>
      <c r="SM9" s="177"/>
      <c r="SN9" s="177"/>
      <c r="SO9" s="177"/>
      <c r="SP9" s="177"/>
      <c r="SQ9" s="177"/>
      <c r="SR9" s="177"/>
      <c r="SS9" s="177"/>
      <c r="ST9" s="177"/>
      <c r="SU9" s="177"/>
      <c r="SV9" s="177"/>
      <c r="SW9" s="177"/>
      <c r="SX9" s="177"/>
      <c r="SY9" s="177"/>
      <c r="SZ9" s="177"/>
      <c r="TA9" s="177"/>
      <c r="TB9" s="177"/>
      <c r="TC9" s="177"/>
      <c r="TD9" s="177"/>
      <c r="TE9" s="177"/>
      <c r="TF9" s="177"/>
      <c r="TG9" s="177"/>
      <c r="TH9" s="177"/>
      <c r="TI9" s="177"/>
      <c r="TJ9" s="177"/>
      <c r="TK9" s="177"/>
      <c r="TL9" s="177"/>
      <c r="TM9" s="177"/>
      <c r="TN9" s="177"/>
      <c r="TO9" s="177"/>
      <c r="TP9" s="177"/>
      <c r="TQ9" s="177"/>
      <c r="TR9" s="177"/>
      <c r="TS9" s="177"/>
      <c r="TT9" s="177"/>
      <c r="TU9" s="177"/>
      <c r="TV9" s="177"/>
      <c r="TW9" s="177"/>
      <c r="TX9" s="177"/>
      <c r="TY9" s="177"/>
      <c r="TZ9" s="177"/>
      <c r="UA9" s="177"/>
      <c r="UB9" s="177"/>
      <c r="UC9" s="177"/>
      <c r="UD9" s="177"/>
      <c r="UE9" s="177"/>
      <c r="UF9" s="177"/>
      <c r="UG9" s="177"/>
      <c r="UH9" s="177"/>
      <c r="UI9" s="177"/>
      <c r="UJ9" s="177"/>
      <c r="UK9" s="177"/>
      <c r="UL9" s="177"/>
      <c r="UM9" s="177"/>
      <c r="UN9" s="177"/>
      <c r="UO9" s="177"/>
      <c r="UP9" s="177"/>
      <c r="UQ9" s="177"/>
      <c r="UR9" s="177"/>
      <c r="US9" s="177"/>
      <c r="UT9" s="177"/>
      <c r="UU9" s="177"/>
      <c r="UV9" s="177"/>
      <c r="UW9" s="177"/>
      <c r="UX9" s="177"/>
      <c r="UY9" s="177"/>
      <c r="UZ9" s="177"/>
      <c r="VA9" s="177"/>
      <c r="VB9" s="177"/>
      <c r="VC9" s="177"/>
      <c r="VD9" s="177"/>
      <c r="VE9" s="177"/>
      <c r="VF9" s="177"/>
      <c r="VG9" s="177"/>
      <c r="VH9" s="177"/>
      <c r="VI9" s="177"/>
      <c r="VJ9" s="177"/>
      <c r="VK9" s="177"/>
      <c r="VL9" s="177"/>
      <c r="VM9" s="177"/>
      <c r="VN9" s="177"/>
      <c r="VO9" s="177"/>
      <c r="VP9" s="177"/>
      <c r="VQ9" s="177"/>
      <c r="VR9" s="177"/>
      <c r="VS9" s="177"/>
      <c r="VT9" s="177"/>
      <c r="VU9" s="177"/>
      <c r="VV9" s="177"/>
      <c r="VW9" s="177"/>
      <c r="VX9" s="177"/>
      <c r="VY9" s="177"/>
      <c r="VZ9" s="177"/>
      <c r="WA9" s="177"/>
      <c r="WB9" s="177"/>
      <c r="WC9" s="177"/>
      <c r="WD9" s="177"/>
      <c r="WE9" s="177"/>
      <c r="WF9" s="177"/>
      <c r="WG9" s="177"/>
      <c r="WH9" s="177"/>
      <c r="WI9" s="177"/>
      <c r="WJ9" s="177"/>
      <c r="WK9" s="177"/>
      <c r="WL9" s="177"/>
      <c r="WM9" s="177"/>
      <c r="WN9" s="177"/>
      <c r="WO9" s="177"/>
      <c r="WP9" s="177"/>
      <c r="WQ9" s="177"/>
      <c r="WR9" s="177"/>
      <c r="WS9" s="177"/>
      <c r="WT9" s="177"/>
      <c r="WU9" s="177"/>
      <c r="WV9" s="177"/>
      <c r="WW9" s="177"/>
      <c r="WX9" s="177"/>
      <c r="WY9" s="177"/>
      <c r="WZ9" s="177"/>
      <c r="XA9" s="177"/>
      <c r="XB9" s="177"/>
      <c r="XC9" s="177"/>
      <c r="XD9" s="177"/>
      <c r="XE9" s="177"/>
      <c r="XF9" s="177"/>
      <c r="XG9" s="177"/>
      <c r="XH9" s="177"/>
      <c r="XI9" s="177"/>
      <c r="XJ9" s="177"/>
      <c r="XK9" s="177"/>
      <c r="XL9" s="177"/>
      <c r="XM9" s="177"/>
      <c r="XN9" s="177"/>
      <c r="XO9" s="177"/>
      <c r="XP9" s="177"/>
      <c r="XQ9" s="177"/>
      <c r="XR9" s="177"/>
      <c r="XS9" s="177"/>
      <c r="XT9" s="177"/>
      <c r="XU9" s="177"/>
      <c r="XV9" s="177"/>
      <c r="XW9" s="177"/>
      <c r="XX9" s="177"/>
      <c r="XY9" s="177"/>
      <c r="XZ9" s="177"/>
      <c r="YA9" s="177"/>
      <c r="YB9" s="177"/>
      <c r="YC9" s="177"/>
      <c r="YD9" s="177"/>
      <c r="YE9" s="177"/>
      <c r="YF9" s="177"/>
      <c r="YG9" s="177"/>
      <c r="YH9" s="177"/>
      <c r="YI9" s="177"/>
      <c r="YJ9" s="177"/>
      <c r="YK9" s="177"/>
      <c r="YL9" s="177"/>
      <c r="YM9" s="177"/>
      <c r="YN9" s="177"/>
      <c r="YO9" s="177"/>
      <c r="YP9" s="177"/>
      <c r="YQ9" s="177"/>
      <c r="YR9" s="177"/>
      <c r="YS9" s="177"/>
      <c r="YT9" s="177"/>
      <c r="YU9" s="177"/>
      <c r="YV9" s="177"/>
      <c r="YW9" s="177"/>
      <c r="YX9" s="177"/>
      <c r="YY9" s="177"/>
      <c r="YZ9" s="177"/>
      <c r="ZA9" s="177"/>
      <c r="ZB9" s="177"/>
      <c r="ZC9" s="177"/>
      <c r="ZD9" s="177"/>
      <c r="ZE9" s="177"/>
      <c r="ZF9" s="177"/>
      <c r="ZG9" s="177"/>
      <c r="ZH9" s="177"/>
      <c r="ZI9" s="177"/>
      <c r="ZJ9" s="177"/>
      <c r="ZK9" s="177"/>
      <c r="ZL9" s="177"/>
      <c r="ZM9" s="177"/>
      <c r="ZN9" s="177"/>
      <c r="ZO9" s="177"/>
      <c r="ZP9" s="177"/>
      <c r="ZQ9" s="177"/>
      <c r="ZR9" s="177"/>
      <c r="ZS9" s="177"/>
      <c r="ZT9" s="177"/>
      <c r="ZU9" s="177"/>
      <c r="ZV9" s="177"/>
      <c r="ZW9" s="177"/>
      <c r="ZX9" s="177"/>
      <c r="ZY9" s="177"/>
      <c r="ZZ9" s="177"/>
      <c r="AAA9" s="177"/>
      <c r="AAB9" s="177"/>
      <c r="AAC9" s="177"/>
      <c r="AAD9" s="177"/>
      <c r="AAE9" s="177"/>
      <c r="AAF9" s="177"/>
      <c r="AAG9" s="177"/>
      <c r="AAH9" s="177"/>
      <c r="AAI9" s="177"/>
      <c r="AAJ9" s="177"/>
      <c r="AAK9" s="177"/>
      <c r="AAL9" s="177"/>
      <c r="AAM9" s="177"/>
      <c r="AAN9" s="177"/>
      <c r="AAO9" s="177"/>
      <c r="AAP9" s="177"/>
      <c r="AAQ9" s="177"/>
      <c r="AAR9" s="177"/>
      <c r="AAS9" s="177"/>
      <c r="AAT9" s="177"/>
      <c r="AAU9" s="177"/>
      <c r="AAV9" s="177"/>
      <c r="AAW9" s="177"/>
      <c r="AAX9" s="177"/>
      <c r="AAY9" s="177"/>
      <c r="AAZ9" s="177"/>
      <c r="ABA9" s="177"/>
      <c r="ABB9" s="177"/>
      <c r="ABC9" s="177"/>
    </row>
    <row r="10" spans="1:731" ht="15" customHeight="1" x14ac:dyDescent="0.3">
      <c r="A10" s="407" t="s">
        <v>17</v>
      </c>
      <c r="B10" s="435"/>
      <c r="C10" s="299"/>
      <c r="D10" s="45" t="s">
        <v>11</v>
      </c>
      <c r="E10" s="46" t="s">
        <v>18</v>
      </c>
      <c r="F10" s="106">
        <f>J10/$F$2</f>
        <v>0</v>
      </c>
      <c r="G10" s="12">
        <f>K10/$F$2</f>
        <v>0</v>
      </c>
      <c r="H10" s="13">
        <f t="shared" si="15"/>
        <v>0</v>
      </c>
      <c r="I10" s="49" t="str">
        <f t="shared" si="1"/>
        <v/>
      </c>
      <c r="J10" s="106"/>
      <c r="K10" s="12"/>
      <c r="L10" s="13">
        <f t="shared" si="16"/>
        <v>0</v>
      </c>
      <c r="M10" s="49" t="str">
        <f t="shared" si="21"/>
        <v/>
      </c>
      <c r="N10" s="151"/>
      <c r="O10" s="150"/>
      <c r="P10" s="13">
        <f t="shared" si="17"/>
        <v>0</v>
      </c>
      <c r="Q10" s="49" t="str">
        <f t="shared" si="2"/>
        <v/>
      </c>
      <c r="R10" s="151"/>
      <c r="S10" s="150"/>
      <c r="T10" s="13">
        <f t="shared" si="18"/>
        <v>0</v>
      </c>
      <c r="U10" s="49" t="str">
        <f t="shared" si="3"/>
        <v/>
      </c>
      <c r="V10" s="151"/>
      <c r="W10" s="150"/>
      <c r="X10" s="13">
        <f t="shared" si="19"/>
        <v>0</v>
      </c>
      <c r="Y10" s="49" t="str">
        <f t="shared" si="4"/>
        <v/>
      </c>
      <c r="Z10" s="151"/>
      <c r="AA10" s="150"/>
      <c r="AB10" s="13">
        <f t="shared" si="20"/>
        <v>0</v>
      </c>
      <c r="AC10" s="50" t="str">
        <f t="shared" si="5"/>
        <v/>
      </c>
      <c r="AD10" s="274"/>
      <c r="AE10" s="275"/>
      <c r="AF10" s="108">
        <f t="shared" si="6"/>
        <v>0</v>
      </c>
      <c r="AG10" s="276" t="str">
        <f t="shared" si="7"/>
        <v/>
      </c>
      <c r="AH10" s="277"/>
      <c r="AI10" s="278"/>
      <c r="AJ10" s="108">
        <f t="shared" si="8"/>
        <v>0</v>
      </c>
      <c r="AK10" s="279" t="str">
        <f>IFERROR(IF(AI10&lt;0,-(AH10-AI10)/AI10,(AH10-AI10)/AI10),"")</f>
        <v/>
      </c>
      <c r="AL10" s="277"/>
      <c r="AM10" s="280"/>
      <c r="AN10" s="13">
        <f t="shared" si="9"/>
        <v>0</v>
      </c>
      <c r="AO10" s="300" t="str">
        <f t="shared" si="10"/>
        <v/>
      </c>
      <c r="AP10" s="291" t="s">
        <v>95</v>
      </c>
      <c r="AQ10" s="22"/>
      <c r="AR10" s="1">
        <f t="shared" si="11"/>
        <v>0</v>
      </c>
      <c r="AS10" s="1">
        <f t="shared" si="12"/>
        <v>0</v>
      </c>
      <c r="AT10" s="1">
        <f t="shared" si="13"/>
        <v>0</v>
      </c>
      <c r="AU10" s="1">
        <f t="shared" si="14"/>
        <v>0</v>
      </c>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row>
    <row r="11" spans="1:731" ht="15" customHeight="1" x14ac:dyDescent="0.3">
      <c r="A11" s="422"/>
      <c r="B11" s="435"/>
      <c r="C11" s="296"/>
      <c r="D11" s="9" t="s">
        <v>11</v>
      </c>
      <c r="E11" s="10" t="s">
        <v>19</v>
      </c>
      <c r="F11" s="47">
        <f t="shared" ref="F11:G13" si="22">J11/$F$2</f>
        <v>0</v>
      </c>
      <c r="G11" s="48">
        <f t="shared" si="22"/>
        <v>0</v>
      </c>
      <c r="H11" s="52">
        <f t="shared" si="15"/>
        <v>0</v>
      </c>
      <c r="I11" s="14" t="str">
        <f t="shared" si="1"/>
        <v/>
      </c>
      <c r="J11" s="47"/>
      <c r="K11" s="48"/>
      <c r="L11" s="52">
        <f t="shared" si="16"/>
        <v>0</v>
      </c>
      <c r="M11" s="14" t="str">
        <f t="shared" si="21"/>
        <v/>
      </c>
      <c r="N11" s="33"/>
      <c r="O11" s="34"/>
      <c r="P11" s="52">
        <f t="shared" si="17"/>
        <v>0</v>
      </c>
      <c r="Q11" s="14" t="str">
        <f t="shared" si="2"/>
        <v/>
      </c>
      <c r="R11" s="33"/>
      <c r="S11" s="34"/>
      <c r="T11" s="52">
        <f t="shared" si="18"/>
        <v>0</v>
      </c>
      <c r="U11" s="14" t="str">
        <f t="shared" si="3"/>
        <v/>
      </c>
      <c r="V11" s="33"/>
      <c r="W11" s="34"/>
      <c r="X11" s="52">
        <f t="shared" si="19"/>
        <v>0</v>
      </c>
      <c r="Y11" s="14" t="str">
        <f t="shared" si="4"/>
        <v/>
      </c>
      <c r="Z11" s="33"/>
      <c r="AA11" s="34"/>
      <c r="AB11" s="52">
        <f t="shared" si="20"/>
        <v>0</v>
      </c>
      <c r="AC11" s="19" t="str">
        <f t="shared" si="5"/>
        <v/>
      </c>
      <c r="AD11" s="137"/>
      <c r="AE11" s="138"/>
      <c r="AF11" s="108">
        <f t="shared" si="6"/>
        <v>0</v>
      </c>
      <c r="AG11" s="110" t="str">
        <f t="shared" si="7"/>
        <v/>
      </c>
      <c r="AH11" s="143"/>
      <c r="AI11" s="127"/>
      <c r="AJ11" s="108">
        <f t="shared" si="8"/>
        <v>0</v>
      </c>
      <c r="AK11" s="20" t="str">
        <f>IFERROR(IF(AI11&lt;0,-(AH11-AI11)/AI11,(AH11-AI11)/AI11),"")</f>
        <v/>
      </c>
      <c r="AL11" s="143"/>
      <c r="AM11" s="136"/>
      <c r="AN11" s="13">
        <f t="shared" si="9"/>
        <v>0</v>
      </c>
      <c r="AO11" s="244" t="str">
        <f t="shared" si="10"/>
        <v/>
      </c>
      <c r="AP11" s="291" t="s">
        <v>95</v>
      </c>
      <c r="AQ11" s="22"/>
      <c r="AR11" s="1">
        <f t="shared" si="11"/>
        <v>0</v>
      </c>
      <c r="AS11" s="1">
        <f t="shared" si="12"/>
        <v>0</v>
      </c>
      <c r="AT11" s="1">
        <f t="shared" si="13"/>
        <v>0</v>
      </c>
      <c r="AU11" s="1">
        <f t="shared" si="14"/>
        <v>0</v>
      </c>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2"/>
      <c r="NK11" s="22"/>
      <c r="NL11" s="22"/>
      <c r="NM11" s="22"/>
      <c r="NN11" s="22"/>
      <c r="NO11" s="22"/>
      <c r="NP11" s="22"/>
      <c r="NQ11" s="22"/>
      <c r="NR11" s="22"/>
      <c r="NS11" s="22"/>
      <c r="NT11" s="22"/>
      <c r="NU11" s="22"/>
      <c r="NV11" s="22"/>
      <c r="NW11" s="22"/>
      <c r="NX11" s="22"/>
      <c r="NY11" s="22"/>
      <c r="NZ11" s="22"/>
      <c r="OA11" s="22"/>
      <c r="OB11" s="22"/>
      <c r="OC11" s="22"/>
      <c r="OD11" s="22"/>
      <c r="OE11" s="22"/>
      <c r="OF11" s="22"/>
      <c r="OG11" s="22"/>
      <c r="OH11" s="22"/>
      <c r="OI11" s="22"/>
      <c r="OJ11" s="22"/>
      <c r="OK11" s="22"/>
      <c r="OL11" s="22"/>
      <c r="OM11" s="22"/>
      <c r="ON11" s="22"/>
      <c r="OO11" s="22"/>
      <c r="OP11" s="22"/>
      <c r="OQ11" s="22"/>
      <c r="OR11" s="22"/>
      <c r="OS11" s="22"/>
      <c r="OT11" s="22"/>
      <c r="OU11" s="22"/>
      <c r="OV11" s="22"/>
      <c r="OW11" s="22"/>
      <c r="OX11" s="22"/>
      <c r="OY11" s="22"/>
      <c r="OZ11" s="22"/>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22"/>
      <c r="XY11" s="22"/>
      <c r="XZ11" s="22"/>
      <c r="YA11" s="22"/>
      <c r="YB11" s="22"/>
      <c r="YC11" s="22"/>
      <c r="YD11" s="22"/>
      <c r="YE11" s="22"/>
      <c r="YF11" s="22"/>
      <c r="YG11" s="22"/>
      <c r="YH11" s="22"/>
      <c r="YI11" s="22"/>
      <c r="YJ11" s="22"/>
      <c r="YK11" s="22"/>
      <c r="YL11" s="22"/>
      <c r="YM11" s="22"/>
      <c r="YN11" s="22"/>
      <c r="YO11" s="22"/>
      <c r="YP11" s="22"/>
      <c r="YQ11" s="22"/>
      <c r="YR11" s="22"/>
      <c r="YS11" s="22"/>
      <c r="YT11" s="22"/>
      <c r="YU11" s="22"/>
      <c r="YV11" s="22"/>
      <c r="YW11" s="22"/>
      <c r="YX11" s="22"/>
      <c r="YY11" s="22"/>
      <c r="YZ11" s="22"/>
      <c r="ZA11" s="22"/>
      <c r="ZB11" s="22"/>
      <c r="ZC11" s="22"/>
      <c r="ZD11" s="22"/>
      <c r="ZE11" s="22"/>
      <c r="ZF11" s="22"/>
      <c r="ZG11" s="22"/>
      <c r="ZH11" s="22"/>
      <c r="ZI11" s="22"/>
      <c r="ZJ11" s="22"/>
      <c r="ZK11" s="22"/>
      <c r="ZL11" s="22"/>
      <c r="ZM11" s="22"/>
      <c r="ZN11" s="22"/>
      <c r="ZO11" s="22"/>
      <c r="ZP11" s="22"/>
      <c r="ZQ11" s="22"/>
      <c r="ZR11" s="22"/>
      <c r="ZS11" s="22"/>
      <c r="ZT11" s="22"/>
      <c r="ZU11" s="22"/>
      <c r="ZV11" s="22"/>
      <c r="ZW11" s="22"/>
      <c r="ZX11" s="22"/>
      <c r="ZY11" s="22"/>
      <c r="ZZ11" s="22"/>
      <c r="AAA11" s="22"/>
      <c r="AAB11" s="22"/>
      <c r="AAC11" s="22"/>
      <c r="AAD11" s="22"/>
      <c r="AAE11" s="22"/>
      <c r="AAF11" s="22"/>
      <c r="AAG11" s="22"/>
      <c r="AAH11" s="22"/>
      <c r="AAI11" s="22"/>
      <c r="AAJ11" s="22"/>
      <c r="AAK11" s="22"/>
      <c r="AAL11" s="22"/>
      <c r="AAM11" s="22"/>
      <c r="AAN11" s="22"/>
      <c r="AAO11" s="22"/>
      <c r="AAP11" s="22"/>
      <c r="AAQ11" s="22"/>
      <c r="AAR11" s="22"/>
      <c r="AAS11" s="22"/>
      <c r="AAT11" s="22"/>
      <c r="AAU11" s="22"/>
      <c r="AAV11" s="22"/>
      <c r="AAW11" s="22"/>
      <c r="AAX11" s="22"/>
      <c r="AAY11" s="22"/>
      <c r="AAZ11" s="22"/>
      <c r="ABA11" s="22"/>
      <c r="ABB11" s="22"/>
      <c r="ABC11" s="22"/>
    </row>
    <row r="12" spans="1:731" ht="15" customHeight="1" x14ac:dyDescent="0.3">
      <c r="A12" s="422"/>
      <c r="B12" s="435"/>
      <c r="C12" s="296"/>
      <c r="D12" s="9" t="s">
        <v>11</v>
      </c>
      <c r="E12" s="10" t="s">
        <v>20</v>
      </c>
      <c r="F12" s="47">
        <f t="shared" si="22"/>
        <v>24.544620894506899</v>
      </c>
      <c r="G12" s="48">
        <f t="shared" si="22"/>
        <v>15.676144009423547</v>
      </c>
      <c r="H12" s="52">
        <f t="shared" si="15"/>
        <v>8.8684768850833517</v>
      </c>
      <c r="I12" s="14">
        <f t="shared" si="1"/>
        <v>0.56573076132447886</v>
      </c>
      <c r="J12" s="47">
        <f>7327335/1000</f>
        <v>7327.335</v>
      </c>
      <c r="K12" s="48">
        <f>4679818/1000</f>
        <v>4679.8180000000002</v>
      </c>
      <c r="L12" s="52">
        <f t="shared" si="16"/>
        <v>2647.5169999999998</v>
      </c>
      <c r="M12" s="14">
        <f t="shared" si="21"/>
        <v>0.56573076132447875</v>
      </c>
      <c r="N12" s="33">
        <f>2386649/1000</f>
        <v>2386.6489999999999</v>
      </c>
      <c r="O12" s="34">
        <f>1123156/1000</f>
        <v>1123.1559999999999</v>
      </c>
      <c r="P12" s="52">
        <f t="shared" si="17"/>
        <v>1263.4929999999999</v>
      </c>
      <c r="Q12" s="14">
        <f t="shared" si="2"/>
        <v>1.1249488049745537</v>
      </c>
      <c r="R12" s="33">
        <f>4165/1000</f>
        <v>4.165</v>
      </c>
      <c r="S12" s="34">
        <f>2000/1000</f>
        <v>2</v>
      </c>
      <c r="T12" s="52">
        <f t="shared" si="18"/>
        <v>2.165</v>
      </c>
      <c r="U12" s="14">
        <f t="shared" si="3"/>
        <v>1.0825</v>
      </c>
      <c r="V12" s="33">
        <f>506148/1000</f>
        <v>506.14800000000002</v>
      </c>
      <c r="W12" s="34">
        <f>540026/1000</f>
        <v>540.02599999999995</v>
      </c>
      <c r="X12" s="52">
        <f t="shared" si="19"/>
        <v>-33.877999999999929</v>
      </c>
      <c r="Y12" s="14">
        <f t="shared" si="4"/>
        <v>-6.2734016510316043E-2</v>
      </c>
      <c r="Z12" s="33">
        <f>1884666/1000</f>
        <v>1884.6659999999999</v>
      </c>
      <c r="AA12" s="34">
        <f>585130/1000</f>
        <v>585.13</v>
      </c>
      <c r="AB12" s="52">
        <f t="shared" si="20"/>
        <v>1299.5360000000001</v>
      </c>
      <c r="AC12" s="19">
        <f t="shared" si="5"/>
        <v>2.2209355186027038</v>
      </c>
      <c r="AD12" s="126">
        <v>0</v>
      </c>
      <c r="AE12" s="139">
        <v>0</v>
      </c>
      <c r="AF12" s="108">
        <f t="shared" si="6"/>
        <v>0</v>
      </c>
      <c r="AG12" s="110" t="str">
        <f t="shared" si="7"/>
        <v/>
      </c>
      <c r="AH12" s="141">
        <v>0</v>
      </c>
      <c r="AI12" s="128">
        <v>0</v>
      </c>
      <c r="AJ12" s="108">
        <f t="shared" si="8"/>
        <v>0</v>
      </c>
      <c r="AK12" s="19">
        <v>0</v>
      </c>
      <c r="AL12" s="142">
        <f>Z12</f>
        <v>1884.6659999999999</v>
      </c>
      <c r="AM12" s="133">
        <f>AA12</f>
        <v>585.13</v>
      </c>
      <c r="AN12" s="13">
        <f t="shared" si="9"/>
        <v>1299.5360000000001</v>
      </c>
      <c r="AO12" s="244">
        <f t="shared" si="10"/>
        <v>2.2209355186027038</v>
      </c>
      <c r="AP12" s="111" t="s">
        <v>114</v>
      </c>
      <c r="AQ12" s="22"/>
      <c r="AR12" s="1">
        <f t="shared" si="11"/>
        <v>0</v>
      </c>
      <c r="AS12" s="1">
        <f t="shared" si="12"/>
        <v>0</v>
      </c>
      <c r="AT12" s="1">
        <f t="shared" si="13"/>
        <v>0</v>
      </c>
      <c r="AU12" s="1">
        <f t="shared" si="14"/>
        <v>0</v>
      </c>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22"/>
      <c r="MR12" s="22"/>
      <c r="MS12" s="22"/>
      <c r="MT12" s="22"/>
      <c r="MU12" s="22"/>
      <c r="MV12" s="22"/>
      <c r="MW12" s="22"/>
      <c r="MX12" s="22"/>
      <c r="MY12" s="22"/>
      <c r="MZ12" s="22"/>
      <c r="NA12" s="22"/>
      <c r="NB12" s="22"/>
      <c r="NC12" s="22"/>
      <c r="ND12" s="22"/>
      <c r="NE12" s="22"/>
      <c r="NF12" s="22"/>
      <c r="NG12" s="22"/>
      <c r="NH12" s="22"/>
      <c r="NI12" s="22"/>
      <c r="NJ12" s="22"/>
      <c r="NK12" s="22"/>
      <c r="NL12" s="22"/>
      <c r="NM12" s="22"/>
      <c r="NN12" s="22"/>
      <c r="NO12" s="22"/>
      <c r="NP12" s="22"/>
      <c r="NQ12" s="22"/>
      <c r="NR12" s="22"/>
      <c r="NS12" s="22"/>
      <c r="NT12" s="22"/>
      <c r="NU12" s="22"/>
      <c r="NV12" s="22"/>
      <c r="NW12" s="22"/>
      <c r="NX12" s="22"/>
      <c r="NY12" s="22"/>
      <c r="NZ12" s="22"/>
      <c r="OA12" s="22"/>
      <c r="OB12" s="22"/>
      <c r="OC12" s="22"/>
      <c r="OD12" s="22"/>
      <c r="OE12" s="22"/>
      <c r="OF12" s="22"/>
      <c r="OG12" s="22"/>
      <c r="OH12" s="22"/>
      <c r="OI12" s="22"/>
      <c r="OJ12" s="22"/>
      <c r="OK12" s="22"/>
      <c r="OL12" s="22"/>
      <c r="OM12" s="22"/>
      <c r="ON12" s="22"/>
      <c r="OO12" s="22"/>
      <c r="OP12" s="22"/>
      <c r="OQ12" s="22"/>
      <c r="OR12" s="22"/>
      <c r="OS12" s="22"/>
      <c r="OT12" s="22"/>
      <c r="OU12" s="22"/>
      <c r="OV12" s="22"/>
      <c r="OW12" s="22"/>
      <c r="OX12" s="22"/>
      <c r="OY12" s="22"/>
      <c r="OZ12" s="22"/>
      <c r="PA12" s="22"/>
      <c r="PB12" s="22"/>
      <c r="PC12" s="22"/>
      <c r="PD12" s="22"/>
      <c r="PE12" s="22"/>
      <c r="PF12" s="22"/>
      <c r="PG12" s="22"/>
      <c r="PH12" s="22"/>
      <c r="PI12" s="22"/>
      <c r="PJ12" s="22"/>
      <c r="PK12" s="22"/>
      <c r="PL12" s="22"/>
      <c r="PM12" s="22"/>
      <c r="PN12" s="22"/>
      <c r="PO12" s="22"/>
      <c r="PP12" s="22"/>
      <c r="PQ12" s="22"/>
      <c r="PR12" s="22"/>
      <c r="PS12" s="22"/>
      <c r="PT12" s="22"/>
      <c r="PU12" s="22"/>
      <c r="PV12" s="22"/>
      <c r="PW12" s="22"/>
      <c r="PX12" s="22"/>
      <c r="PY12" s="22"/>
      <c r="PZ12" s="22"/>
      <c r="QA12" s="22"/>
      <c r="QB12" s="22"/>
      <c r="QC12" s="22"/>
      <c r="QD12" s="22"/>
      <c r="QE12" s="22"/>
      <c r="QF12" s="22"/>
      <c r="QG12" s="22"/>
      <c r="QH12" s="22"/>
      <c r="QI12" s="22"/>
      <c r="QJ12" s="22"/>
      <c r="QK12" s="22"/>
      <c r="QL12" s="22"/>
      <c r="QM12" s="22"/>
      <c r="QN12" s="22"/>
      <c r="QO12" s="22"/>
      <c r="QP12" s="22"/>
      <c r="QQ12" s="22"/>
      <c r="QR12" s="22"/>
      <c r="QS12" s="22"/>
      <c r="QT12" s="22"/>
      <c r="QU12" s="22"/>
      <c r="QV12" s="22"/>
      <c r="QW12" s="22"/>
      <c r="QX12" s="22"/>
      <c r="QY12" s="22"/>
      <c r="QZ12" s="22"/>
      <c r="RA12" s="22"/>
      <c r="RB12" s="22"/>
      <c r="RC12" s="22"/>
      <c r="RD12" s="22"/>
      <c r="RE12" s="22"/>
      <c r="RF12" s="22"/>
      <c r="RG12" s="22"/>
      <c r="RH12" s="22"/>
      <c r="RI12" s="22"/>
      <c r="RJ12" s="22"/>
      <c r="RK12" s="22"/>
      <c r="RL12" s="22"/>
      <c r="RM12" s="22"/>
      <c r="RN12" s="22"/>
      <c r="RO12" s="22"/>
      <c r="RP12" s="22"/>
      <c r="RQ12" s="22"/>
      <c r="RR12" s="22"/>
      <c r="RS12" s="22"/>
      <c r="RT12" s="22"/>
      <c r="RU12" s="22"/>
      <c r="RV12" s="22"/>
      <c r="RW12" s="22"/>
      <c r="RX12" s="22"/>
      <c r="RY12" s="22"/>
      <c r="RZ12" s="22"/>
      <c r="SA12" s="22"/>
      <c r="SB12" s="22"/>
      <c r="SC12" s="22"/>
      <c r="SD12" s="22"/>
      <c r="SE12" s="22"/>
      <c r="SF12" s="22"/>
      <c r="SG12" s="22"/>
      <c r="SH12" s="22"/>
      <c r="SI12" s="22"/>
      <c r="SJ12" s="22"/>
      <c r="SK12" s="22"/>
      <c r="SL12" s="22"/>
      <c r="SM12" s="22"/>
      <c r="SN12" s="22"/>
      <c r="SO12" s="22"/>
      <c r="SP12" s="22"/>
      <c r="SQ12" s="22"/>
      <c r="SR12" s="22"/>
      <c r="SS12" s="22"/>
      <c r="ST12" s="22"/>
      <c r="SU12" s="22"/>
      <c r="SV12" s="22"/>
      <c r="SW12" s="22"/>
      <c r="SX12" s="22"/>
      <c r="SY12" s="22"/>
      <c r="SZ12" s="22"/>
      <c r="TA12" s="22"/>
      <c r="TB12" s="22"/>
      <c r="TC12" s="22"/>
      <c r="TD12" s="22"/>
      <c r="TE12" s="22"/>
      <c r="TF12" s="22"/>
      <c r="TG12" s="22"/>
      <c r="TH12" s="22"/>
      <c r="TI12" s="22"/>
      <c r="TJ12" s="22"/>
      <c r="TK12" s="22"/>
      <c r="TL12" s="22"/>
      <c r="TM12" s="22"/>
      <c r="TN12" s="22"/>
      <c r="TO12" s="22"/>
      <c r="TP12" s="22"/>
      <c r="TQ12" s="22"/>
      <c r="TR12" s="22"/>
      <c r="TS12" s="22"/>
      <c r="TT12" s="22"/>
      <c r="TU12" s="22"/>
      <c r="TV12" s="22"/>
      <c r="TW12" s="22"/>
      <c r="TX12" s="22"/>
      <c r="TY12" s="22"/>
      <c r="TZ12" s="22"/>
      <c r="UA12" s="22"/>
      <c r="UB12" s="22"/>
      <c r="UC12" s="22"/>
      <c r="UD12" s="22"/>
      <c r="UE12" s="22"/>
      <c r="UF12" s="22"/>
      <c r="UG12" s="22"/>
      <c r="UH12" s="22"/>
      <c r="UI12" s="22"/>
      <c r="UJ12" s="22"/>
      <c r="UK12" s="22"/>
      <c r="UL12" s="22"/>
      <c r="UM12" s="22"/>
      <c r="UN12" s="22"/>
      <c r="UO12" s="22"/>
      <c r="UP12" s="22"/>
      <c r="UQ12" s="22"/>
      <c r="UR12" s="22"/>
      <c r="US12" s="22"/>
      <c r="UT12" s="22"/>
      <c r="UU12" s="22"/>
      <c r="UV12" s="22"/>
      <c r="UW12" s="22"/>
      <c r="UX12" s="22"/>
      <c r="UY12" s="22"/>
      <c r="UZ12" s="22"/>
      <c r="VA12" s="22"/>
      <c r="VB12" s="22"/>
      <c r="VC12" s="22"/>
      <c r="VD12" s="22"/>
      <c r="VE12" s="22"/>
      <c r="VF12" s="22"/>
      <c r="VG12" s="22"/>
      <c r="VH12" s="22"/>
      <c r="VI12" s="22"/>
      <c r="VJ12" s="22"/>
      <c r="VK12" s="22"/>
      <c r="VL12" s="22"/>
      <c r="VM12" s="22"/>
      <c r="VN12" s="22"/>
      <c r="VO12" s="22"/>
      <c r="VP12" s="22"/>
      <c r="VQ12" s="22"/>
      <c r="VR12" s="22"/>
      <c r="VS12" s="22"/>
      <c r="VT12" s="22"/>
      <c r="VU12" s="22"/>
      <c r="VV12" s="22"/>
      <c r="VW12" s="22"/>
      <c r="VX12" s="22"/>
      <c r="VY12" s="22"/>
      <c r="VZ12" s="22"/>
      <c r="WA12" s="22"/>
      <c r="WB12" s="22"/>
      <c r="WC12" s="22"/>
      <c r="WD12" s="22"/>
      <c r="WE12" s="22"/>
      <c r="WF12" s="22"/>
      <c r="WG12" s="22"/>
      <c r="WH12" s="22"/>
      <c r="WI12" s="22"/>
      <c r="WJ12" s="22"/>
      <c r="WK12" s="22"/>
      <c r="WL12" s="22"/>
      <c r="WM12" s="22"/>
      <c r="WN12" s="22"/>
      <c r="WO12" s="22"/>
      <c r="WP12" s="22"/>
      <c r="WQ12" s="22"/>
      <c r="WR12" s="22"/>
      <c r="WS12" s="22"/>
      <c r="WT12" s="22"/>
      <c r="WU12" s="22"/>
      <c r="WV12" s="22"/>
      <c r="WW12" s="22"/>
      <c r="WX12" s="22"/>
      <c r="WY12" s="22"/>
      <c r="WZ12" s="22"/>
      <c r="XA12" s="22"/>
      <c r="XB12" s="22"/>
      <c r="XC12" s="22"/>
      <c r="XD12" s="22"/>
      <c r="XE12" s="22"/>
      <c r="XF12" s="22"/>
      <c r="XG12" s="22"/>
      <c r="XH12" s="22"/>
      <c r="XI12" s="22"/>
      <c r="XJ12" s="22"/>
      <c r="XK12" s="22"/>
      <c r="XL12" s="22"/>
      <c r="XM12" s="22"/>
      <c r="XN12" s="22"/>
      <c r="XO12" s="22"/>
      <c r="XP12" s="22"/>
      <c r="XQ12" s="22"/>
      <c r="XR12" s="22"/>
      <c r="XS12" s="22"/>
      <c r="XT12" s="22"/>
      <c r="XU12" s="22"/>
      <c r="XV12" s="22"/>
      <c r="XW12" s="22"/>
      <c r="XX12" s="22"/>
      <c r="XY12" s="22"/>
      <c r="XZ12" s="22"/>
      <c r="YA12" s="22"/>
      <c r="YB12" s="22"/>
      <c r="YC12" s="22"/>
      <c r="YD12" s="22"/>
      <c r="YE12" s="22"/>
      <c r="YF12" s="22"/>
      <c r="YG12" s="22"/>
      <c r="YH12" s="22"/>
      <c r="YI12" s="22"/>
      <c r="YJ12" s="22"/>
      <c r="YK12" s="22"/>
      <c r="YL12" s="22"/>
      <c r="YM12" s="22"/>
      <c r="YN12" s="22"/>
      <c r="YO12" s="22"/>
      <c r="YP12" s="22"/>
      <c r="YQ12" s="22"/>
      <c r="YR12" s="22"/>
      <c r="YS12" s="22"/>
      <c r="YT12" s="22"/>
      <c r="YU12" s="22"/>
      <c r="YV12" s="22"/>
      <c r="YW12" s="22"/>
      <c r="YX12" s="22"/>
      <c r="YY12" s="22"/>
      <c r="YZ12" s="22"/>
      <c r="ZA12" s="22"/>
      <c r="ZB12" s="22"/>
      <c r="ZC12" s="22"/>
      <c r="ZD12" s="22"/>
      <c r="ZE12" s="22"/>
      <c r="ZF12" s="22"/>
      <c r="ZG12" s="22"/>
      <c r="ZH12" s="22"/>
      <c r="ZI12" s="22"/>
      <c r="ZJ12" s="22"/>
      <c r="ZK12" s="22"/>
      <c r="ZL12" s="22"/>
      <c r="ZM12" s="22"/>
      <c r="ZN12" s="22"/>
      <c r="ZO12" s="22"/>
      <c r="ZP12" s="22"/>
      <c r="ZQ12" s="22"/>
      <c r="ZR12" s="22"/>
      <c r="ZS12" s="22"/>
      <c r="ZT12" s="22"/>
      <c r="ZU12" s="22"/>
      <c r="ZV12" s="22"/>
      <c r="ZW12" s="22"/>
      <c r="ZX12" s="22"/>
      <c r="ZY12" s="22"/>
      <c r="ZZ12" s="22"/>
      <c r="AAA12" s="22"/>
      <c r="AAB12" s="22"/>
      <c r="AAC12" s="22"/>
      <c r="AAD12" s="22"/>
      <c r="AAE12" s="22"/>
      <c r="AAF12" s="22"/>
      <c r="AAG12" s="22"/>
      <c r="AAH12" s="22"/>
      <c r="AAI12" s="22"/>
      <c r="AAJ12" s="22"/>
      <c r="AAK12" s="22"/>
      <c r="AAL12" s="22"/>
      <c r="AAM12" s="22"/>
      <c r="AAN12" s="22"/>
      <c r="AAO12" s="22"/>
      <c r="AAP12" s="22"/>
      <c r="AAQ12" s="22"/>
      <c r="AAR12" s="22"/>
      <c r="AAS12" s="22"/>
      <c r="AAT12" s="22"/>
      <c r="AAU12" s="22"/>
      <c r="AAV12" s="22"/>
      <c r="AAW12" s="22"/>
      <c r="AAX12" s="22"/>
      <c r="AAY12" s="22"/>
      <c r="AAZ12" s="22"/>
      <c r="ABA12" s="22"/>
      <c r="ABB12" s="22"/>
      <c r="ABC12" s="22"/>
    </row>
    <row r="13" spans="1:731" ht="15" customHeight="1" x14ac:dyDescent="0.3">
      <c r="A13" s="422"/>
      <c r="B13" s="435"/>
      <c r="C13" s="296"/>
      <c r="D13" s="9" t="s">
        <v>11</v>
      </c>
      <c r="E13" s="10" t="s">
        <v>21</v>
      </c>
      <c r="F13" s="47">
        <f t="shared" si="22"/>
        <v>63.063339215171872</v>
      </c>
      <c r="G13" s="48">
        <f>K13/$F$2</f>
        <v>54.041199996607972</v>
      </c>
      <c r="H13" s="52">
        <f t="shared" si="15"/>
        <v>9.0221392185639004</v>
      </c>
      <c r="I13" s="14">
        <f t="shared" si="1"/>
        <v>0.16694927609176327</v>
      </c>
      <c r="J13" s="47">
        <f>18826374/1000</f>
        <v>18826.374</v>
      </c>
      <c r="K13" s="48">
        <f>16132984/1000</f>
        <v>16132.984</v>
      </c>
      <c r="L13" s="52">
        <f t="shared" si="16"/>
        <v>2693.3899999999994</v>
      </c>
      <c r="M13" s="14">
        <f t="shared" si="21"/>
        <v>0.16694927609176327</v>
      </c>
      <c r="N13" s="33">
        <f>18405327/1000</f>
        <v>18405.327000000001</v>
      </c>
      <c r="O13" s="34">
        <f>15383845/1000</f>
        <v>15383.844999999999</v>
      </c>
      <c r="P13" s="52">
        <f t="shared" si="17"/>
        <v>3021.4820000000018</v>
      </c>
      <c r="Q13" s="14">
        <f t="shared" si="2"/>
        <v>0.19640616503871444</v>
      </c>
      <c r="R13" s="33"/>
      <c r="S13" s="34"/>
      <c r="T13" s="52">
        <f t="shared" si="18"/>
        <v>0</v>
      </c>
      <c r="U13" s="14" t="str">
        <f t="shared" si="3"/>
        <v/>
      </c>
      <c r="V13" s="33">
        <f>12716092/1000</f>
        <v>12716.092000000001</v>
      </c>
      <c r="W13" s="34">
        <f>11398619/1000</f>
        <v>11398.619000000001</v>
      </c>
      <c r="X13" s="52">
        <f t="shared" si="19"/>
        <v>1317.473</v>
      </c>
      <c r="Y13" s="14">
        <f t="shared" si="4"/>
        <v>0.11558180863839733</v>
      </c>
      <c r="Z13" s="33">
        <f>5689235/1000</f>
        <v>5689.2349999999997</v>
      </c>
      <c r="AA13" s="34">
        <f>3985226/1000</f>
        <v>3985.2260000000001</v>
      </c>
      <c r="AB13" s="52">
        <f t="shared" si="20"/>
        <v>1704.0089999999996</v>
      </c>
      <c r="AC13" s="19">
        <f t="shared" si="5"/>
        <v>0.42758152235281</v>
      </c>
      <c r="AD13" s="131">
        <f>2165714.7/1000</f>
        <v>2165.7147</v>
      </c>
      <c r="AE13" s="138"/>
      <c r="AF13" s="108">
        <f t="shared" si="6"/>
        <v>2165.7147</v>
      </c>
      <c r="AG13" s="110" t="str">
        <f t="shared" si="7"/>
        <v/>
      </c>
      <c r="AH13" s="143"/>
      <c r="AI13" s="127"/>
      <c r="AJ13" s="108">
        <f t="shared" si="8"/>
        <v>0</v>
      </c>
      <c r="AK13" s="20" t="str">
        <f>IFERROR(IF(AI13&lt;0,-(AH13-AI13)/AI13,(AH13-AI13)/AI13),"")</f>
        <v/>
      </c>
      <c r="AL13" s="142">
        <f>3523520.3/1000</f>
        <v>3523.5202999999997</v>
      </c>
      <c r="AM13" s="133">
        <f>3985226/1000</f>
        <v>3985.2260000000001</v>
      </c>
      <c r="AN13" s="13">
        <f t="shared" si="9"/>
        <v>-461.70570000000043</v>
      </c>
      <c r="AO13" s="244">
        <f t="shared" si="10"/>
        <v>-0.11585433297885751</v>
      </c>
      <c r="AP13" s="88" t="s">
        <v>104</v>
      </c>
      <c r="AQ13" s="22"/>
      <c r="AR13" s="1">
        <f t="shared" si="11"/>
        <v>0</v>
      </c>
      <c r="AS13" s="1">
        <f t="shared" si="12"/>
        <v>0</v>
      </c>
      <c r="AT13" s="1">
        <f t="shared" si="13"/>
        <v>0</v>
      </c>
      <c r="AU13" s="1">
        <f t="shared" si="14"/>
        <v>0</v>
      </c>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22"/>
      <c r="JL13" s="22"/>
      <c r="JM13" s="22"/>
      <c r="JN13" s="22"/>
      <c r="JO13" s="22"/>
      <c r="JP13" s="22"/>
      <c r="JQ13" s="22"/>
      <c r="JR13" s="22"/>
      <c r="JS13" s="22"/>
      <c r="JT13" s="22"/>
      <c r="JU13" s="22"/>
      <c r="JV13" s="22"/>
      <c r="JW13" s="22"/>
      <c r="JX13" s="22"/>
      <c r="JY13" s="22"/>
      <c r="JZ13" s="22"/>
      <c r="KA13" s="22"/>
      <c r="KB13" s="22"/>
      <c r="KC13" s="22"/>
      <c r="KD13" s="22"/>
      <c r="KE13" s="22"/>
      <c r="KF13" s="22"/>
      <c r="KG13" s="22"/>
      <c r="KH13" s="22"/>
      <c r="KI13" s="22"/>
      <c r="KJ13" s="22"/>
      <c r="KK13" s="22"/>
      <c r="KL13" s="22"/>
      <c r="KM13" s="22"/>
      <c r="KN13" s="22"/>
      <c r="KO13" s="22"/>
      <c r="KP13" s="22"/>
      <c r="KQ13" s="22"/>
      <c r="KR13" s="22"/>
      <c r="KS13" s="22"/>
      <c r="KT13" s="22"/>
      <c r="KU13" s="22"/>
      <c r="KV13" s="22"/>
      <c r="KW13" s="22"/>
      <c r="KX13" s="22"/>
      <c r="KY13" s="22"/>
      <c r="KZ13" s="22"/>
      <c r="LA13" s="22"/>
      <c r="LB13" s="22"/>
      <c r="LC13" s="22"/>
      <c r="LD13" s="22"/>
      <c r="LE13" s="22"/>
      <c r="LF13" s="22"/>
      <c r="LG13" s="22"/>
      <c r="LH13" s="22"/>
      <c r="LI13" s="22"/>
      <c r="LJ13" s="22"/>
      <c r="LK13" s="22"/>
      <c r="LL13" s="22"/>
      <c r="LM13" s="22"/>
      <c r="LN13" s="22"/>
      <c r="LO13" s="22"/>
      <c r="LP13" s="22"/>
      <c r="LQ13" s="22"/>
      <c r="LR13" s="22"/>
      <c r="LS13" s="22"/>
      <c r="LT13" s="22"/>
      <c r="LU13" s="22"/>
      <c r="LV13" s="22"/>
      <c r="LW13" s="22"/>
      <c r="LX13" s="22"/>
      <c r="LY13" s="22"/>
      <c r="LZ13" s="22"/>
      <c r="MA13" s="22"/>
      <c r="MB13" s="22"/>
      <c r="MC13" s="22"/>
      <c r="MD13" s="22"/>
      <c r="ME13" s="22"/>
      <c r="MF13" s="22"/>
      <c r="MG13" s="22"/>
      <c r="MH13" s="22"/>
      <c r="MI13" s="22"/>
      <c r="MJ13" s="22"/>
      <c r="MK13" s="22"/>
      <c r="ML13" s="22"/>
      <c r="MM13" s="22"/>
      <c r="MN13" s="22"/>
      <c r="MO13" s="22"/>
      <c r="MP13" s="22"/>
      <c r="MQ13" s="22"/>
      <c r="MR13" s="22"/>
      <c r="MS13" s="22"/>
      <c r="MT13" s="22"/>
      <c r="MU13" s="22"/>
      <c r="MV13" s="22"/>
      <c r="MW13" s="22"/>
      <c r="MX13" s="22"/>
      <c r="MY13" s="22"/>
      <c r="MZ13" s="22"/>
      <c r="NA13" s="22"/>
      <c r="NB13" s="22"/>
      <c r="NC13" s="22"/>
      <c r="ND13" s="22"/>
      <c r="NE13" s="22"/>
      <c r="NF13" s="22"/>
      <c r="NG13" s="22"/>
      <c r="NH13" s="22"/>
      <c r="NI13" s="22"/>
      <c r="NJ13" s="22"/>
      <c r="NK13" s="22"/>
      <c r="NL13" s="22"/>
      <c r="NM13" s="22"/>
      <c r="NN13" s="22"/>
      <c r="NO13" s="22"/>
      <c r="NP13" s="22"/>
      <c r="NQ13" s="22"/>
      <c r="NR13" s="22"/>
      <c r="NS13" s="22"/>
      <c r="NT13" s="22"/>
      <c r="NU13" s="22"/>
      <c r="NV13" s="22"/>
      <c r="NW13" s="22"/>
      <c r="NX13" s="22"/>
      <c r="NY13" s="22"/>
      <c r="NZ13" s="22"/>
      <c r="OA13" s="22"/>
      <c r="OB13" s="22"/>
      <c r="OC13" s="22"/>
      <c r="OD13" s="22"/>
      <c r="OE13" s="22"/>
      <c r="OF13" s="22"/>
      <c r="OG13" s="22"/>
      <c r="OH13" s="22"/>
      <c r="OI13" s="22"/>
      <c r="OJ13" s="22"/>
      <c r="OK13" s="22"/>
      <c r="OL13" s="22"/>
      <c r="OM13" s="22"/>
      <c r="ON13" s="22"/>
      <c r="OO13" s="22"/>
      <c r="OP13" s="22"/>
      <c r="OQ13" s="22"/>
      <c r="OR13" s="22"/>
      <c r="OS13" s="22"/>
      <c r="OT13" s="22"/>
      <c r="OU13" s="22"/>
      <c r="OV13" s="22"/>
      <c r="OW13" s="22"/>
      <c r="OX13" s="22"/>
      <c r="OY13" s="22"/>
      <c r="OZ13" s="22"/>
      <c r="PA13" s="22"/>
      <c r="PB13" s="22"/>
      <c r="PC13" s="22"/>
      <c r="PD13" s="22"/>
      <c r="PE13" s="22"/>
      <c r="PF13" s="22"/>
      <c r="PG13" s="22"/>
      <c r="PH13" s="22"/>
      <c r="PI13" s="22"/>
      <c r="PJ13" s="22"/>
      <c r="PK13" s="22"/>
      <c r="PL13" s="22"/>
      <c r="PM13" s="22"/>
      <c r="PN13" s="22"/>
      <c r="PO13" s="22"/>
      <c r="PP13" s="22"/>
      <c r="PQ13" s="22"/>
      <c r="PR13" s="22"/>
      <c r="PS13" s="22"/>
      <c r="PT13" s="22"/>
      <c r="PU13" s="22"/>
      <c r="PV13" s="22"/>
      <c r="PW13" s="22"/>
      <c r="PX13" s="22"/>
      <c r="PY13" s="22"/>
      <c r="PZ13" s="22"/>
      <c r="QA13" s="22"/>
      <c r="QB13" s="22"/>
      <c r="QC13" s="22"/>
      <c r="QD13" s="22"/>
      <c r="QE13" s="22"/>
      <c r="QF13" s="22"/>
      <c r="QG13" s="22"/>
      <c r="QH13" s="22"/>
      <c r="QI13" s="22"/>
      <c r="QJ13" s="22"/>
      <c r="QK13" s="22"/>
      <c r="QL13" s="22"/>
      <c r="QM13" s="22"/>
      <c r="QN13" s="22"/>
      <c r="QO13" s="22"/>
      <c r="QP13" s="22"/>
      <c r="QQ13" s="22"/>
      <c r="QR13" s="22"/>
      <c r="QS13" s="22"/>
      <c r="QT13" s="22"/>
      <c r="QU13" s="22"/>
      <c r="QV13" s="22"/>
      <c r="QW13" s="22"/>
      <c r="QX13" s="22"/>
      <c r="QY13" s="22"/>
      <c r="QZ13" s="22"/>
      <c r="RA13" s="22"/>
      <c r="RB13" s="22"/>
      <c r="RC13" s="22"/>
      <c r="RD13" s="22"/>
      <c r="RE13" s="22"/>
      <c r="RF13" s="22"/>
      <c r="RG13" s="22"/>
      <c r="RH13" s="22"/>
      <c r="RI13" s="22"/>
      <c r="RJ13" s="22"/>
      <c r="RK13" s="22"/>
      <c r="RL13" s="22"/>
      <c r="RM13" s="22"/>
      <c r="RN13" s="22"/>
      <c r="RO13" s="22"/>
      <c r="RP13" s="22"/>
      <c r="RQ13" s="22"/>
      <c r="RR13" s="22"/>
      <c r="RS13" s="22"/>
      <c r="RT13" s="22"/>
      <c r="RU13" s="22"/>
      <c r="RV13" s="22"/>
      <c r="RW13" s="22"/>
      <c r="RX13" s="22"/>
      <c r="RY13" s="22"/>
      <c r="RZ13" s="22"/>
      <c r="SA13" s="22"/>
      <c r="SB13" s="22"/>
      <c r="SC13" s="22"/>
      <c r="SD13" s="22"/>
      <c r="SE13" s="22"/>
      <c r="SF13" s="22"/>
      <c r="SG13" s="22"/>
      <c r="SH13" s="22"/>
      <c r="SI13" s="22"/>
      <c r="SJ13" s="22"/>
      <c r="SK13" s="22"/>
      <c r="SL13" s="22"/>
      <c r="SM13" s="22"/>
      <c r="SN13" s="22"/>
      <c r="SO13" s="22"/>
      <c r="SP13" s="22"/>
      <c r="SQ13" s="22"/>
      <c r="SR13" s="22"/>
      <c r="SS13" s="22"/>
      <c r="ST13" s="22"/>
      <c r="SU13" s="22"/>
      <c r="SV13" s="22"/>
      <c r="SW13" s="22"/>
      <c r="SX13" s="22"/>
      <c r="SY13" s="22"/>
      <c r="SZ13" s="22"/>
      <c r="TA13" s="22"/>
      <c r="TB13" s="22"/>
      <c r="TC13" s="22"/>
      <c r="TD13" s="22"/>
      <c r="TE13" s="22"/>
      <c r="TF13" s="22"/>
      <c r="TG13" s="22"/>
      <c r="TH13" s="22"/>
      <c r="TI13" s="22"/>
      <c r="TJ13" s="22"/>
      <c r="TK13" s="22"/>
      <c r="TL13" s="22"/>
      <c r="TM13" s="22"/>
      <c r="TN13" s="22"/>
      <c r="TO13" s="22"/>
      <c r="TP13" s="22"/>
      <c r="TQ13" s="22"/>
      <c r="TR13" s="22"/>
      <c r="TS13" s="22"/>
      <c r="TT13" s="22"/>
      <c r="TU13" s="22"/>
      <c r="TV13" s="22"/>
      <c r="TW13" s="22"/>
      <c r="TX13" s="22"/>
      <c r="TY13" s="22"/>
      <c r="TZ13" s="22"/>
      <c r="UA13" s="22"/>
      <c r="UB13" s="22"/>
      <c r="UC13" s="22"/>
      <c r="UD13" s="22"/>
      <c r="UE13" s="22"/>
      <c r="UF13" s="22"/>
      <c r="UG13" s="22"/>
      <c r="UH13" s="22"/>
      <c r="UI13" s="22"/>
      <c r="UJ13" s="22"/>
      <c r="UK13" s="22"/>
      <c r="UL13" s="22"/>
      <c r="UM13" s="22"/>
      <c r="UN13" s="22"/>
      <c r="UO13" s="22"/>
      <c r="UP13" s="22"/>
      <c r="UQ13" s="22"/>
      <c r="UR13" s="22"/>
      <c r="US13" s="22"/>
      <c r="UT13" s="22"/>
      <c r="UU13" s="22"/>
      <c r="UV13" s="22"/>
      <c r="UW13" s="22"/>
      <c r="UX13" s="22"/>
      <c r="UY13" s="22"/>
      <c r="UZ13" s="22"/>
      <c r="VA13" s="22"/>
      <c r="VB13" s="22"/>
      <c r="VC13" s="22"/>
      <c r="VD13" s="22"/>
      <c r="VE13" s="22"/>
      <c r="VF13" s="22"/>
      <c r="VG13" s="22"/>
      <c r="VH13" s="22"/>
      <c r="VI13" s="22"/>
      <c r="VJ13" s="22"/>
      <c r="VK13" s="22"/>
      <c r="VL13" s="22"/>
      <c r="VM13" s="22"/>
      <c r="VN13" s="22"/>
      <c r="VO13" s="22"/>
      <c r="VP13" s="22"/>
      <c r="VQ13" s="22"/>
      <c r="VR13" s="22"/>
      <c r="VS13" s="22"/>
      <c r="VT13" s="22"/>
      <c r="VU13" s="22"/>
      <c r="VV13" s="22"/>
      <c r="VW13" s="22"/>
      <c r="VX13" s="22"/>
      <c r="VY13" s="22"/>
      <c r="VZ13" s="22"/>
      <c r="WA13" s="22"/>
      <c r="WB13" s="22"/>
      <c r="WC13" s="22"/>
      <c r="WD13" s="22"/>
      <c r="WE13" s="22"/>
      <c r="WF13" s="22"/>
      <c r="WG13" s="22"/>
      <c r="WH13" s="22"/>
      <c r="WI13" s="22"/>
      <c r="WJ13" s="22"/>
      <c r="WK13" s="22"/>
      <c r="WL13" s="22"/>
      <c r="WM13" s="22"/>
      <c r="WN13" s="22"/>
      <c r="WO13" s="22"/>
      <c r="WP13" s="22"/>
      <c r="WQ13" s="22"/>
      <c r="WR13" s="22"/>
      <c r="WS13" s="22"/>
      <c r="WT13" s="22"/>
      <c r="WU13" s="22"/>
      <c r="WV13" s="22"/>
      <c r="WW13" s="22"/>
      <c r="WX13" s="22"/>
      <c r="WY13" s="22"/>
      <c r="WZ13" s="22"/>
      <c r="XA13" s="22"/>
      <c r="XB13" s="22"/>
      <c r="XC13" s="22"/>
      <c r="XD13" s="22"/>
      <c r="XE13" s="22"/>
      <c r="XF13" s="22"/>
      <c r="XG13" s="22"/>
      <c r="XH13" s="22"/>
      <c r="XI13" s="22"/>
      <c r="XJ13" s="22"/>
      <c r="XK13" s="22"/>
      <c r="XL13" s="22"/>
      <c r="XM13" s="22"/>
      <c r="XN13" s="22"/>
      <c r="XO13" s="22"/>
      <c r="XP13" s="22"/>
      <c r="XQ13" s="22"/>
      <c r="XR13" s="22"/>
      <c r="XS13" s="22"/>
      <c r="XT13" s="22"/>
      <c r="XU13" s="22"/>
      <c r="XV13" s="22"/>
      <c r="XW13" s="22"/>
      <c r="XX13" s="22"/>
      <c r="XY13" s="22"/>
      <c r="XZ13" s="22"/>
      <c r="YA13" s="22"/>
      <c r="YB13" s="22"/>
      <c r="YC13" s="22"/>
      <c r="YD13" s="22"/>
      <c r="YE13" s="22"/>
      <c r="YF13" s="22"/>
      <c r="YG13" s="22"/>
      <c r="YH13" s="22"/>
      <c r="YI13" s="22"/>
      <c r="YJ13" s="22"/>
      <c r="YK13" s="22"/>
      <c r="YL13" s="22"/>
      <c r="YM13" s="22"/>
      <c r="YN13" s="22"/>
      <c r="YO13" s="22"/>
      <c r="YP13" s="22"/>
      <c r="YQ13" s="22"/>
      <c r="YR13" s="22"/>
      <c r="YS13" s="22"/>
      <c r="YT13" s="22"/>
      <c r="YU13" s="22"/>
      <c r="YV13" s="22"/>
      <c r="YW13" s="22"/>
      <c r="YX13" s="22"/>
      <c r="YY13" s="22"/>
      <c r="YZ13" s="22"/>
      <c r="ZA13" s="22"/>
      <c r="ZB13" s="22"/>
      <c r="ZC13" s="22"/>
      <c r="ZD13" s="22"/>
      <c r="ZE13" s="22"/>
      <c r="ZF13" s="22"/>
      <c r="ZG13" s="22"/>
      <c r="ZH13" s="22"/>
      <c r="ZI13" s="22"/>
      <c r="ZJ13" s="22"/>
      <c r="ZK13" s="22"/>
      <c r="ZL13" s="22"/>
      <c r="ZM13" s="22"/>
      <c r="ZN13" s="22"/>
      <c r="ZO13" s="22"/>
      <c r="ZP13" s="22"/>
      <c r="ZQ13" s="22"/>
      <c r="ZR13" s="22"/>
      <c r="ZS13" s="22"/>
      <c r="ZT13" s="22"/>
      <c r="ZU13" s="22"/>
      <c r="ZV13" s="22"/>
      <c r="ZW13" s="22"/>
      <c r="ZX13" s="22"/>
      <c r="ZY13" s="22"/>
      <c r="ZZ13" s="22"/>
      <c r="AAA13" s="22"/>
      <c r="AAB13" s="22"/>
      <c r="AAC13" s="22"/>
      <c r="AAD13" s="22"/>
      <c r="AAE13" s="22"/>
      <c r="AAF13" s="22"/>
      <c r="AAG13" s="22"/>
      <c r="AAH13" s="22"/>
      <c r="AAI13" s="22"/>
      <c r="AAJ13" s="22"/>
      <c r="AAK13" s="22"/>
      <c r="AAL13" s="22"/>
      <c r="AAM13" s="22"/>
      <c r="AAN13" s="22"/>
      <c r="AAO13" s="22"/>
      <c r="AAP13" s="22"/>
      <c r="AAQ13" s="22"/>
      <c r="AAR13" s="22"/>
      <c r="AAS13" s="22"/>
      <c r="AAT13" s="22"/>
      <c r="AAU13" s="22"/>
      <c r="AAV13" s="22"/>
      <c r="AAW13" s="22"/>
      <c r="AAX13" s="22"/>
      <c r="AAY13" s="22"/>
      <c r="AAZ13" s="22"/>
      <c r="ABA13" s="22"/>
      <c r="ABB13" s="22"/>
      <c r="ABC13" s="22"/>
    </row>
    <row r="14" spans="1:731" ht="15" customHeight="1" x14ac:dyDescent="0.3">
      <c r="A14" s="422"/>
      <c r="B14" s="435"/>
      <c r="C14" s="296"/>
      <c r="D14" s="9" t="s">
        <v>11</v>
      </c>
      <c r="E14" s="10" t="s">
        <v>22</v>
      </c>
      <c r="F14" s="47">
        <f>J14/$F$2</f>
        <v>1.1249506782567222</v>
      </c>
      <c r="G14" s="48">
        <f>K14/$F$2</f>
        <v>7.915941521900729</v>
      </c>
      <c r="H14" s="52">
        <f t="shared" si="15"/>
        <v>-6.790990843644007</v>
      </c>
      <c r="I14" s="14">
        <f t="shared" si="1"/>
        <v>-0.85788794988639516</v>
      </c>
      <c r="J14" s="47">
        <f>335832.87/1000</f>
        <v>335.83287000000001</v>
      </c>
      <c r="K14" s="48">
        <f>2363155.48/1000</f>
        <v>2363.1554799999999</v>
      </c>
      <c r="L14" s="31">
        <f t="shared" si="16"/>
        <v>-2027.3226099999999</v>
      </c>
      <c r="M14" s="156">
        <f t="shared" si="21"/>
        <v>-0.85788794988639516</v>
      </c>
      <c r="N14" s="33">
        <f>J14</f>
        <v>335.83287000000001</v>
      </c>
      <c r="O14" s="34">
        <f>'[83]Income Statement'!$J$17/1000</f>
        <v>2363.1554799999999</v>
      </c>
      <c r="P14" s="31">
        <f t="shared" si="17"/>
        <v>-2027.3226099999999</v>
      </c>
      <c r="Q14" s="156">
        <f t="shared" si="2"/>
        <v>-0.85788794988639516</v>
      </c>
      <c r="R14" s="33">
        <f>75431.94/1000</f>
        <v>75.431939999999997</v>
      </c>
      <c r="S14" s="34">
        <v>0</v>
      </c>
      <c r="T14" s="31">
        <f t="shared" si="18"/>
        <v>75.431939999999997</v>
      </c>
      <c r="U14" s="156" t="str">
        <f>IFERROR(IF(S14&lt;0,-(R14-S14)/S14,(R14-S14)/S14),"")</f>
        <v/>
      </c>
      <c r="V14" s="33">
        <f>1409570.95/1000</f>
        <v>1409.57095</v>
      </c>
      <c r="W14" s="34">
        <f>1677781.32093606/1000</f>
        <v>1677.78132093606</v>
      </c>
      <c r="X14" s="31">
        <f t="shared" si="19"/>
        <v>-268.21037093605992</v>
      </c>
      <c r="Y14" s="156">
        <f t="shared" si="4"/>
        <v>-0.15986014839312981</v>
      </c>
      <c r="Z14" s="33">
        <f>-998306.14/1000</f>
        <v>-998.30614000000003</v>
      </c>
      <c r="AA14" s="34">
        <f>685374.159063939/1000</f>
        <v>685.37415906393903</v>
      </c>
      <c r="AB14" s="31">
        <f t="shared" si="20"/>
        <v>-1683.6802990639389</v>
      </c>
      <c r="AC14" s="158">
        <f t="shared" si="5"/>
        <v>-2.456585613562456</v>
      </c>
      <c r="AD14" s="206">
        <v>0</v>
      </c>
      <c r="AE14" s="207">
        <v>0</v>
      </c>
      <c r="AF14" s="161">
        <f t="shared" si="6"/>
        <v>0</v>
      </c>
      <c r="AG14" s="162">
        <v>0</v>
      </c>
      <c r="AH14" s="210">
        <v>0</v>
      </c>
      <c r="AI14" s="208">
        <v>0</v>
      </c>
      <c r="AJ14" s="161">
        <f t="shared" si="8"/>
        <v>0</v>
      </c>
      <c r="AK14" s="158">
        <v>0</v>
      </c>
      <c r="AL14" s="175">
        <f>Z14</f>
        <v>-998.30614000000003</v>
      </c>
      <c r="AM14" s="164">
        <f>AA14</f>
        <v>685.37415906393903</v>
      </c>
      <c r="AN14" s="165">
        <f t="shared" si="9"/>
        <v>-1683.6802990639389</v>
      </c>
      <c r="AO14" s="301">
        <f t="shared" si="10"/>
        <v>-2.456585613562456</v>
      </c>
      <c r="AP14" s="318" t="s">
        <v>105</v>
      </c>
      <c r="AQ14" s="22"/>
      <c r="AR14" s="1">
        <f t="shared" si="11"/>
        <v>0</v>
      </c>
      <c r="AS14" s="1">
        <f t="shared" si="12"/>
        <v>9.0949470177292824E-13</v>
      </c>
      <c r="AT14" s="1">
        <f t="shared" si="13"/>
        <v>0</v>
      </c>
      <c r="AU14" s="1">
        <f t="shared" si="14"/>
        <v>0</v>
      </c>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c r="LC14" s="22"/>
      <c r="LD14" s="22"/>
      <c r="LE14" s="22"/>
      <c r="LF14" s="22"/>
      <c r="LG14" s="22"/>
      <c r="LH14" s="22"/>
      <c r="LI14" s="22"/>
      <c r="LJ14" s="22"/>
      <c r="LK14" s="22"/>
      <c r="LL14" s="22"/>
      <c r="LM14" s="22"/>
      <c r="LN14" s="22"/>
      <c r="LO14" s="22"/>
      <c r="LP14" s="22"/>
      <c r="LQ14" s="22"/>
      <c r="LR14" s="22"/>
      <c r="LS14" s="22"/>
      <c r="LT14" s="22"/>
      <c r="LU14" s="22"/>
      <c r="LV14" s="22"/>
      <c r="LW14" s="22"/>
      <c r="LX14" s="22"/>
      <c r="LY14" s="22"/>
      <c r="LZ14" s="22"/>
      <c r="MA14" s="22"/>
      <c r="MB14" s="22"/>
      <c r="MC14" s="22"/>
      <c r="MD14" s="22"/>
      <c r="ME14" s="22"/>
      <c r="MF14" s="22"/>
      <c r="MG14" s="22"/>
      <c r="MH14" s="22"/>
      <c r="MI14" s="22"/>
      <c r="MJ14" s="22"/>
      <c r="MK14" s="22"/>
      <c r="ML14" s="22"/>
      <c r="MM14" s="22"/>
      <c r="MN14" s="22"/>
      <c r="MO14" s="22"/>
      <c r="MP14" s="22"/>
      <c r="MQ14" s="22"/>
      <c r="MR14" s="22"/>
      <c r="MS14" s="22"/>
      <c r="MT14" s="22"/>
      <c r="MU14" s="22"/>
      <c r="MV14" s="22"/>
      <c r="MW14" s="22"/>
      <c r="MX14" s="22"/>
      <c r="MY14" s="22"/>
      <c r="MZ14" s="22"/>
      <c r="NA14" s="22"/>
      <c r="NB14" s="22"/>
      <c r="NC14" s="22"/>
      <c r="ND14" s="22"/>
      <c r="NE14" s="22"/>
      <c r="NF14" s="22"/>
      <c r="NG14" s="22"/>
      <c r="NH14" s="22"/>
      <c r="NI14" s="22"/>
      <c r="NJ14" s="22"/>
      <c r="NK14" s="22"/>
      <c r="NL14" s="22"/>
      <c r="NM14" s="22"/>
      <c r="NN14" s="22"/>
      <c r="NO14" s="22"/>
      <c r="NP14" s="22"/>
      <c r="NQ14" s="22"/>
      <c r="NR14" s="22"/>
      <c r="NS14" s="22"/>
      <c r="NT14" s="22"/>
      <c r="NU14" s="22"/>
      <c r="NV14" s="22"/>
      <c r="NW14" s="22"/>
      <c r="NX14" s="22"/>
      <c r="NY14" s="22"/>
      <c r="NZ14" s="22"/>
      <c r="OA14" s="22"/>
      <c r="OB14" s="22"/>
      <c r="OC14" s="22"/>
      <c r="OD14" s="22"/>
      <c r="OE14" s="22"/>
      <c r="OF14" s="22"/>
      <c r="OG14" s="22"/>
      <c r="OH14" s="22"/>
      <c r="OI14" s="22"/>
      <c r="OJ14" s="22"/>
      <c r="OK14" s="22"/>
      <c r="OL14" s="22"/>
      <c r="OM14" s="22"/>
      <c r="ON14" s="22"/>
      <c r="OO14" s="22"/>
      <c r="OP14" s="22"/>
      <c r="OQ14" s="22"/>
      <c r="OR14" s="22"/>
      <c r="OS14" s="22"/>
      <c r="OT14" s="22"/>
      <c r="OU14" s="22"/>
      <c r="OV14" s="22"/>
      <c r="OW14" s="22"/>
      <c r="OX14" s="22"/>
      <c r="OY14" s="22"/>
      <c r="OZ14" s="22"/>
      <c r="PA14" s="22"/>
      <c r="PB14" s="22"/>
      <c r="PC14" s="22"/>
      <c r="PD14" s="22"/>
      <c r="PE14" s="22"/>
      <c r="PF14" s="22"/>
      <c r="PG14" s="22"/>
      <c r="PH14" s="22"/>
      <c r="PI14" s="22"/>
      <c r="PJ14" s="22"/>
      <c r="PK14" s="22"/>
      <c r="PL14" s="22"/>
      <c r="PM14" s="22"/>
      <c r="PN14" s="22"/>
      <c r="PO14" s="22"/>
      <c r="PP14" s="22"/>
      <c r="PQ14" s="22"/>
      <c r="PR14" s="22"/>
      <c r="PS14" s="22"/>
      <c r="PT14" s="22"/>
      <c r="PU14" s="22"/>
      <c r="PV14" s="22"/>
      <c r="PW14" s="22"/>
      <c r="PX14" s="22"/>
      <c r="PY14" s="22"/>
      <c r="PZ14" s="22"/>
      <c r="QA14" s="22"/>
      <c r="QB14" s="22"/>
      <c r="QC14" s="22"/>
      <c r="QD14" s="22"/>
      <c r="QE14" s="22"/>
      <c r="QF14" s="22"/>
      <c r="QG14" s="22"/>
      <c r="QH14" s="22"/>
      <c r="QI14" s="22"/>
      <c r="QJ14" s="22"/>
      <c r="QK14" s="22"/>
      <c r="QL14" s="22"/>
      <c r="QM14" s="22"/>
      <c r="QN14" s="22"/>
      <c r="QO14" s="22"/>
      <c r="QP14" s="22"/>
      <c r="QQ14" s="22"/>
      <c r="QR14" s="22"/>
      <c r="QS14" s="22"/>
      <c r="QT14" s="22"/>
      <c r="QU14" s="22"/>
      <c r="QV14" s="22"/>
      <c r="QW14" s="22"/>
      <c r="QX14" s="22"/>
      <c r="QY14" s="22"/>
      <c r="QZ14" s="22"/>
      <c r="RA14" s="22"/>
      <c r="RB14" s="22"/>
      <c r="RC14" s="22"/>
      <c r="RD14" s="22"/>
      <c r="RE14" s="22"/>
      <c r="RF14" s="22"/>
      <c r="RG14" s="22"/>
      <c r="RH14" s="22"/>
      <c r="RI14" s="22"/>
      <c r="RJ14" s="22"/>
      <c r="RK14" s="22"/>
      <c r="RL14" s="22"/>
      <c r="RM14" s="22"/>
      <c r="RN14" s="22"/>
      <c r="RO14" s="22"/>
      <c r="RP14" s="22"/>
      <c r="RQ14" s="22"/>
      <c r="RR14" s="22"/>
      <c r="RS14" s="22"/>
      <c r="RT14" s="22"/>
      <c r="RU14" s="22"/>
      <c r="RV14" s="22"/>
      <c r="RW14" s="22"/>
      <c r="RX14" s="22"/>
      <c r="RY14" s="22"/>
      <c r="RZ14" s="22"/>
      <c r="SA14" s="22"/>
      <c r="SB14" s="22"/>
      <c r="SC14" s="22"/>
      <c r="SD14" s="22"/>
      <c r="SE14" s="22"/>
      <c r="SF14" s="22"/>
      <c r="SG14" s="22"/>
      <c r="SH14" s="22"/>
      <c r="SI14" s="22"/>
      <c r="SJ14" s="22"/>
      <c r="SK14" s="22"/>
      <c r="SL14" s="22"/>
      <c r="SM14" s="22"/>
      <c r="SN14" s="22"/>
      <c r="SO14" s="22"/>
      <c r="SP14" s="22"/>
      <c r="SQ14" s="22"/>
      <c r="SR14" s="22"/>
      <c r="SS14" s="22"/>
      <c r="ST14" s="22"/>
      <c r="SU14" s="22"/>
      <c r="SV14" s="22"/>
      <c r="SW14" s="22"/>
      <c r="SX14" s="22"/>
      <c r="SY14" s="22"/>
      <c r="SZ14" s="22"/>
      <c r="TA14" s="22"/>
      <c r="TB14" s="22"/>
      <c r="TC14" s="22"/>
      <c r="TD14" s="22"/>
      <c r="TE14" s="22"/>
      <c r="TF14" s="22"/>
      <c r="TG14" s="22"/>
      <c r="TH14" s="22"/>
      <c r="TI14" s="22"/>
      <c r="TJ14" s="22"/>
      <c r="TK14" s="22"/>
      <c r="TL14" s="22"/>
      <c r="TM14" s="22"/>
      <c r="TN14" s="22"/>
      <c r="TO14" s="22"/>
      <c r="TP14" s="22"/>
      <c r="TQ14" s="22"/>
      <c r="TR14" s="22"/>
      <c r="TS14" s="22"/>
      <c r="TT14" s="22"/>
      <c r="TU14" s="22"/>
      <c r="TV14" s="22"/>
      <c r="TW14" s="22"/>
      <c r="TX14" s="22"/>
      <c r="TY14" s="22"/>
      <c r="TZ14" s="22"/>
      <c r="UA14" s="22"/>
      <c r="UB14" s="22"/>
      <c r="UC14" s="22"/>
      <c r="UD14" s="22"/>
      <c r="UE14" s="22"/>
      <c r="UF14" s="22"/>
      <c r="UG14" s="22"/>
      <c r="UH14" s="22"/>
      <c r="UI14" s="22"/>
      <c r="UJ14" s="22"/>
      <c r="UK14" s="22"/>
      <c r="UL14" s="22"/>
      <c r="UM14" s="22"/>
      <c r="UN14" s="22"/>
      <c r="UO14" s="22"/>
      <c r="UP14" s="22"/>
      <c r="UQ14" s="22"/>
      <c r="UR14" s="22"/>
      <c r="US14" s="22"/>
      <c r="UT14" s="22"/>
      <c r="UU14" s="22"/>
      <c r="UV14" s="22"/>
      <c r="UW14" s="22"/>
      <c r="UX14" s="22"/>
      <c r="UY14" s="22"/>
      <c r="UZ14" s="22"/>
      <c r="VA14" s="22"/>
      <c r="VB14" s="22"/>
      <c r="VC14" s="22"/>
      <c r="VD14" s="22"/>
      <c r="VE14" s="22"/>
      <c r="VF14" s="22"/>
      <c r="VG14" s="22"/>
      <c r="VH14" s="22"/>
      <c r="VI14" s="22"/>
      <c r="VJ14" s="22"/>
      <c r="VK14" s="22"/>
      <c r="VL14" s="22"/>
      <c r="VM14" s="22"/>
      <c r="VN14" s="22"/>
      <c r="VO14" s="22"/>
      <c r="VP14" s="22"/>
      <c r="VQ14" s="22"/>
      <c r="VR14" s="22"/>
      <c r="VS14" s="22"/>
      <c r="VT14" s="22"/>
      <c r="VU14" s="22"/>
      <c r="VV14" s="22"/>
      <c r="VW14" s="22"/>
      <c r="VX14" s="22"/>
      <c r="VY14" s="22"/>
      <c r="VZ14" s="22"/>
      <c r="WA14" s="22"/>
      <c r="WB14" s="22"/>
      <c r="WC14" s="22"/>
      <c r="WD14" s="22"/>
      <c r="WE14" s="22"/>
      <c r="WF14" s="22"/>
      <c r="WG14" s="22"/>
      <c r="WH14" s="22"/>
      <c r="WI14" s="22"/>
      <c r="WJ14" s="22"/>
      <c r="WK14" s="22"/>
      <c r="WL14" s="22"/>
      <c r="WM14" s="22"/>
      <c r="WN14" s="22"/>
      <c r="WO14" s="22"/>
      <c r="WP14" s="22"/>
      <c r="WQ14" s="22"/>
      <c r="WR14" s="22"/>
      <c r="WS14" s="22"/>
      <c r="WT14" s="22"/>
      <c r="WU14" s="22"/>
      <c r="WV14" s="22"/>
      <c r="WW14" s="22"/>
      <c r="WX14" s="22"/>
      <c r="WY14" s="22"/>
      <c r="WZ14" s="22"/>
      <c r="XA14" s="22"/>
      <c r="XB14" s="22"/>
      <c r="XC14" s="22"/>
      <c r="XD14" s="22"/>
      <c r="XE14" s="22"/>
      <c r="XF14" s="22"/>
      <c r="XG14" s="22"/>
      <c r="XH14" s="22"/>
      <c r="XI14" s="22"/>
      <c r="XJ14" s="22"/>
      <c r="XK14" s="22"/>
      <c r="XL14" s="22"/>
      <c r="XM14" s="22"/>
      <c r="XN14" s="22"/>
      <c r="XO14" s="22"/>
      <c r="XP14" s="22"/>
      <c r="XQ14" s="22"/>
      <c r="XR14" s="22"/>
      <c r="XS14" s="22"/>
      <c r="XT14" s="22"/>
      <c r="XU14" s="22"/>
      <c r="XV14" s="22"/>
      <c r="XW14" s="22"/>
      <c r="XX14" s="22"/>
      <c r="XY14" s="22"/>
      <c r="XZ14" s="22"/>
      <c r="YA14" s="22"/>
      <c r="YB14" s="22"/>
      <c r="YC14" s="22"/>
      <c r="YD14" s="22"/>
      <c r="YE14" s="22"/>
      <c r="YF14" s="22"/>
      <c r="YG14" s="22"/>
      <c r="YH14" s="22"/>
      <c r="YI14" s="22"/>
      <c r="YJ14" s="22"/>
      <c r="YK14" s="22"/>
      <c r="YL14" s="22"/>
      <c r="YM14" s="22"/>
      <c r="YN14" s="22"/>
      <c r="YO14" s="22"/>
      <c r="YP14" s="22"/>
      <c r="YQ14" s="22"/>
      <c r="YR14" s="22"/>
      <c r="YS14" s="22"/>
      <c r="YT14" s="22"/>
      <c r="YU14" s="22"/>
      <c r="YV14" s="22"/>
      <c r="YW14" s="22"/>
      <c r="YX14" s="22"/>
      <c r="YY14" s="22"/>
      <c r="YZ14" s="22"/>
      <c r="ZA14" s="22"/>
      <c r="ZB14" s="22"/>
      <c r="ZC14" s="22"/>
      <c r="ZD14" s="22"/>
      <c r="ZE14" s="22"/>
      <c r="ZF14" s="22"/>
      <c r="ZG14" s="22"/>
      <c r="ZH14" s="22"/>
      <c r="ZI14" s="22"/>
      <c r="ZJ14" s="22"/>
      <c r="ZK14" s="22"/>
      <c r="ZL14" s="22"/>
      <c r="ZM14" s="22"/>
      <c r="ZN14" s="22"/>
      <c r="ZO14" s="22"/>
      <c r="ZP14" s="22"/>
      <c r="ZQ14" s="22"/>
      <c r="ZR14" s="22"/>
      <c r="ZS14" s="22"/>
      <c r="ZT14" s="22"/>
      <c r="ZU14" s="22"/>
      <c r="ZV14" s="22"/>
      <c r="ZW14" s="22"/>
      <c r="ZX14" s="22"/>
      <c r="ZY14" s="22"/>
      <c r="ZZ14" s="22"/>
      <c r="AAA14" s="22"/>
      <c r="AAB14" s="22"/>
      <c r="AAC14" s="22"/>
      <c r="AAD14" s="22"/>
      <c r="AAE14" s="22"/>
      <c r="AAF14" s="22"/>
      <c r="AAG14" s="22"/>
      <c r="AAH14" s="22"/>
      <c r="AAI14" s="22"/>
      <c r="AAJ14" s="22"/>
      <c r="AAK14" s="22"/>
      <c r="AAL14" s="22"/>
      <c r="AAM14" s="22"/>
      <c r="AAN14" s="22"/>
      <c r="AAO14" s="22"/>
      <c r="AAP14" s="22"/>
      <c r="AAQ14" s="22"/>
      <c r="AAR14" s="22"/>
      <c r="AAS14" s="22"/>
      <c r="AAT14" s="22"/>
      <c r="AAU14" s="22"/>
      <c r="AAV14" s="22"/>
      <c r="AAW14" s="22"/>
      <c r="AAX14" s="22"/>
      <c r="AAY14" s="22"/>
      <c r="AAZ14" s="22"/>
      <c r="ABA14" s="22"/>
      <c r="ABB14" s="22"/>
      <c r="ABC14" s="22"/>
    </row>
    <row r="15" spans="1:731" ht="15" customHeight="1" x14ac:dyDescent="0.3">
      <c r="A15" s="422"/>
      <c r="B15" s="435"/>
      <c r="C15" s="302"/>
      <c r="D15" s="21" t="s">
        <v>13</v>
      </c>
      <c r="E15" s="79" t="s">
        <v>78</v>
      </c>
      <c r="F15" s="105">
        <f>J15/$F$2</f>
        <v>2.6789789613276254</v>
      </c>
      <c r="G15" s="58">
        <f>K15/$F$2</f>
        <v>5.5923803925136859</v>
      </c>
      <c r="H15" s="52">
        <v>34.156637611923543</v>
      </c>
      <c r="I15" s="14">
        <f>IFERROR(IF(G15&lt;0,-(F15-G15)/G15,(F15-G15)/G15),"")</f>
        <v>-0.52095909553758613</v>
      </c>
      <c r="J15" s="57">
        <f>799758.79/1000</f>
        <v>799.75879000000009</v>
      </c>
      <c r="K15" s="58">
        <f>1669500/1000</f>
        <v>1669.5</v>
      </c>
      <c r="L15" s="52">
        <f t="shared" si="16"/>
        <v>-869.74120999999991</v>
      </c>
      <c r="M15" s="14">
        <f>IFERROR(IF(K15&lt;0,-(J15-K15)/K15,(J15-K15)/K15),"")</f>
        <v>-0.52095909553758601</v>
      </c>
      <c r="N15" s="57">
        <f>239191.42/1000</f>
        <v>239.19142000000002</v>
      </c>
      <c r="O15" s="58">
        <f>247700/1000</f>
        <v>247.7</v>
      </c>
      <c r="P15" s="52">
        <f t="shared" si="17"/>
        <v>-8.5085799999999665</v>
      </c>
      <c r="Q15" s="14">
        <f>IFERROR(IF(O15&lt;0,-(N15-O15)/O15,(N15-O15)/O15),"")</f>
        <v>-3.4350343157044681E-2</v>
      </c>
      <c r="R15" s="57">
        <v>0</v>
      </c>
      <c r="S15" s="58">
        <v>0</v>
      </c>
      <c r="T15" s="52">
        <v>34.156637611923543</v>
      </c>
      <c r="U15" s="14">
        <v>0.1969326192748091</v>
      </c>
      <c r="V15" s="57">
        <f>345693.37/1000</f>
        <v>345.69337000000002</v>
      </c>
      <c r="W15" s="58">
        <f>830100/1000</f>
        <v>830.1</v>
      </c>
      <c r="X15" s="52">
        <v>34.156637611923543</v>
      </c>
      <c r="Y15" s="14">
        <f>IFERROR(IF(W15&lt;0,-(V15-W15)/W15,(V15-W15)/W15),"")</f>
        <v>-0.58355213829659081</v>
      </c>
      <c r="Z15" s="18">
        <f>-106501.95/1000</f>
        <v>-106.50194999999999</v>
      </c>
      <c r="AA15" s="28">
        <f>-582400/1000</f>
        <v>-582.4</v>
      </c>
      <c r="AB15" s="52">
        <v>34.156637611923543</v>
      </c>
      <c r="AC15" s="19">
        <f>IFERROR(IF(AA15&lt;0,-(Z15-AA15)/AA15,(Z15-AA15)/AA15),"")</f>
        <v>0.81713264079670334</v>
      </c>
      <c r="AD15" s="126">
        <v>0</v>
      </c>
      <c r="AE15" s="139">
        <v>0</v>
      </c>
      <c r="AF15" s="173">
        <f>AD15-AE15</f>
        <v>0</v>
      </c>
      <c r="AG15" s="113">
        <v>0</v>
      </c>
      <c r="AH15" s="141">
        <v>0</v>
      </c>
      <c r="AI15" s="128">
        <v>0</v>
      </c>
      <c r="AJ15" s="173">
        <f>AH15-AI15</f>
        <v>0</v>
      </c>
      <c r="AK15" s="19">
        <v>0</v>
      </c>
      <c r="AL15" s="144">
        <f>Z15</f>
        <v>-106.50194999999999</v>
      </c>
      <c r="AM15" s="134">
        <f>AA15</f>
        <v>-582.4</v>
      </c>
      <c r="AN15" s="52">
        <f>AL15-AM15</f>
        <v>475.89805000000001</v>
      </c>
      <c r="AO15" s="244">
        <f>IFERROR(IF(AM15&lt;0,-(AL15-AM15)/AM15,(AL15-AM15)/AM15),"")</f>
        <v>0.81713264079670334</v>
      </c>
      <c r="AP15" s="209"/>
      <c r="AQ15" s="43"/>
      <c r="AR15" s="1">
        <f>(N15+R15-V15)-Z15</f>
        <v>0</v>
      </c>
      <c r="AS15" s="1">
        <f>(O15+S15-W15)-AA15</f>
        <v>0</v>
      </c>
      <c r="AT15" s="1">
        <f>(Z15-AD15+AH15)-AL15</f>
        <v>0</v>
      </c>
      <c r="AU15" s="1">
        <f>(AA15-AE15+AI15)-AM15</f>
        <v>0</v>
      </c>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J15" s="22"/>
      <c r="JK15" s="22"/>
      <c r="JL15" s="22"/>
      <c r="JM15" s="22"/>
      <c r="JN15" s="22"/>
      <c r="JO15" s="22"/>
      <c r="JP15" s="22"/>
      <c r="JQ15" s="22"/>
      <c r="JR15" s="22"/>
      <c r="JS15" s="22"/>
      <c r="JT15" s="22"/>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c r="KZ15" s="22"/>
      <c r="LA15" s="22"/>
      <c r="LB15" s="22"/>
      <c r="LC15" s="22"/>
      <c r="LD15" s="22"/>
      <c r="LE15" s="22"/>
      <c r="LF15" s="22"/>
      <c r="LG15" s="22"/>
      <c r="LH15" s="22"/>
      <c r="LI15" s="22"/>
      <c r="LJ15" s="22"/>
      <c r="LK15" s="22"/>
      <c r="LL15" s="22"/>
      <c r="LM15" s="22"/>
      <c r="LN15" s="22"/>
      <c r="LO15" s="22"/>
      <c r="LP15" s="22"/>
      <c r="LQ15" s="22"/>
      <c r="LR15" s="22"/>
      <c r="LS15" s="22"/>
      <c r="LT15" s="22"/>
      <c r="LU15" s="22"/>
      <c r="LV15" s="22"/>
      <c r="LW15" s="22"/>
      <c r="LX15" s="22"/>
      <c r="LY15" s="22"/>
      <c r="LZ15" s="22"/>
      <c r="MA15" s="22"/>
      <c r="MB15" s="22"/>
      <c r="MC15" s="22"/>
      <c r="MD15" s="22"/>
      <c r="ME15" s="22"/>
      <c r="MF15" s="22"/>
      <c r="MG15" s="22"/>
      <c r="MH15" s="22"/>
      <c r="MI15" s="22"/>
      <c r="MJ15" s="22"/>
      <c r="MK15" s="22"/>
      <c r="ML15" s="22"/>
      <c r="MM15" s="22"/>
      <c r="MN15" s="22"/>
      <c r="MO15" s="22"/>
      <c r="MP15" s="22"/>
      <c r="MQ15" s="22"/>
      <c r="MR15" s="22"/>
      <c r="MS15" s="22"/>
      <c r="MT15" s="22"/>
      <c r="MU15" s="22"/>
      <c r="MV15" s="22"/>
      <c r="MW15" s="22"/>
      <c r="MX15" s="22"/>
      <c r="MY15" s="22"/>
      <c r="MZ15" s="22"/>
      <c r="NA15" s="22"/>
      <c r="NB15" s="22"/>
      <c r="NC15" s="22"/>
      <c r="ND15" s="22"/>
      <c r="NE15" s="22"/>
      <c r="NF15" s="22"/>
      <c r="NG15" s="22"/>
      <c r="NH15" s="22"/>
      <c r="NI15" s="22"/>
      <c r="NJ15" s="22"/>
      <c r="NK15" s="22"/>
      <c r="NL15" s="22"/>
      <c r="NM15" s="22"/>
      <c r="NN15" s="22"/>
      <c r="NO15" s="22"/>
      <c r="NP15" s="22"/>
      <c r="NQ15" s="22"/>
      <c r="NR15" s="22"/>
      <c r="NS15" s="22"/>
      <c r="NT15" s="22"/>
      <c r="NU15" s="22"/>
      <c r="NV15" s="22"/>
      <c r="NW15" s="22"/>
      <c r="NX15" s="22"/>
      <c r="NY15" s="22"/>
      <c r="NZ15" s="22"/>
      <c r="OA15" s="22"/>
      <c r="OB15" s="22"/>
      <c r="OC15" s="22"/>
      <c r="OD15" s="22"/>
      <c r="OE15" s="22"/>
      <c r="OF15" s="22"/>
      <c r="OG15" s="22"/>
      <c r="OH15" s="22"/>
      <c r="OI15" s="22"/>
      <c r="OJ15" s="22"/>
      <c r="OK15" s="22"/>
      <c r="OL15" s="22"/>
      <c r="OM15" s="22"/>
      <c r="ON15" s="22"/>
      <c r="OO15" s="22"/>
      <c r="OP15" s="22"/>
      <c r="OQ15" s="22"/>
      <c r="OR15" s="22"/>
      <c r="OS15" s="22"/>
      <c r="OT15" s="22"/>
      <c r="OU15" s="22"/>
      <c r="OV15" s="22"/>
      <c r="OW15" s="22"/>
      <c r="OX15" s="22"/>
      <c r="OY15" s="22"/>
      <c r="OZ15" s="22"/>
      <c r="PA15" s="22"/>
      <c r="PB15" s="22"/>
      <c r="PC15" s="22"/>
      <c r="PD15" s="22"/>
      <c r="PE15" s="22"/>
      <c r="PF15" s="22"/>
      <c r="PG15" s="22"/>
      <c r="PH15" s="22"/>
      <c r="PI15" s="22"/>
      <c r="PJ15" s="22"/>
      <c r="PK15" s="22"/>
      <c r="PL15" s="22"/>
      <c r="PM15" s="22"/>
      <c r="PN15" s="22"/>
      <c r="PO15" s="22"/>
      <c r="PP15" s="22"/>
      <c r="PQ15" s="22"/>
      <c r="PR15" s="22"/>
      <c r="PS15" s="22"/>
      <c r="PT15" s="22"/>
      <c r="PU15" s="22"/>
      <c r="PV15" s="22"/>
      <c r="PW15" s="22"/>
      <c r="PX15" s="22"/>
      <c r="PY15" s="22"/>
      <c r="PZ15" s="22"/>
      <c r="QA15" s="22"/>
      <c r="QB15" s="22"/>
      <c r="QC15" s="22"/>
      <c r="QD15" s="22"/>
      <c r="QE15" s="22"/>
      <c r="QF15" s="22"/>
      <c r="QG15" s="22"/>
      <c r="QH15" s="22"/>
      <c r="QI15" s="22"/>
      <c r="QJ15" s="22"/>
      <c r="QK15" s="22"/>
      <c r="QL15" s="22"/>
      <c r="QM15" s="22"/>
      <c r="QN15" s="22"/>
      <c r="QO15" s="22"/>
      <c r="QP15" s="22"/>
      <c r="QQ15" s="22"/>
      <c r="QR15" s="22"/>
      <c r="QS15" s="22"/>
      <c r="QT15" s="22"/>
      <c r="QU15" s="22"/>
      <c r="QV15" s="22"/>
      <c r="QW15" s="22"/>
      <c r="QX15" s="22"/>
      <c r="QY15" s="22"/>
      <c r="QZ15" s="22"/>
      <c r="RA15" s="22"/>
      <c r="RB15" s="22"/>
      <c r="RC15" s="22"/>
      <c r="RD15" s="22"/>
      <c r="RE15" s="22"/>
      <c r="RF15" s="22"/>
      <c r="RG15" s="22"/>
      <c r="RH15" s="22"/>
      <c r="RI15" s="22"/>
      <c r="RJ15" s="22"/>
      <c r="RK15" s="22"/>
      <c r="RL15" s="22"/>
      <c r="RM15" s="22"/>
      <c r="RN15" s="22"/>
      <c r="RO15" s="22"/>
      <c r="RP15" s="22"/>
      <c r="RQ15" s="22"/>
      <c r="RR15" s="22"/>
      <c r="RS15" s="22"/>
      <c r="RT15" s="22"/>
      <c r="RU15" s="22"/>
      <c r="RV15" s="22"/>
      <c r="RW15" s="22"/>
      <c r="RX15" s="22"/>
      <c r="RY15" s="22"/>
      <c r="RZ15" s="22"/>
      <c r="SA15" s="22"/>
      <c r="SB15" s="22"/>
      <c r="SC15" s="22"/>
      <c r="SD15" s="22"/>
      <c r="SE15" s="22"/>
      <c r="SF15" s="22"/>
      <c r="SG15" s="22"/>
      <c r="SH15" s="22"/>
      <c r="SI15" s="22"/>
      <c r="SJ15" s="22"/>
      <c r="SK15" s="22"/>
      <c r="SL15" s="22"/>
      <c r="SM15" s="22"/>
      <c r="SN15" s="22"/>
      <c r="SO15" s="22"/>
      <c r="SP15" s="22"/>
      <c r="SQ15" s="22"/>
      <c r="SR15" s="22"/>
      <c r="SS15" s="22"/>
      <c r="ST15" s="22"/>
      <c r="SU15" s="22"/>
      <c r="SV15" s="22"/>
      <c r="SW15" s="22"/>
      <c r="SX15" s="22"/>
      <c r="SY15" s="22"/>
      <c r="SZ15" s="22"/>
      <c r="TA15" s="22"/>
      <c r="TB15" s="22"/>
      <c r="TC15" s="22"/>
      <c r="TD15" s="22"/>
      <c r="TE15" s="22"/>
      <c r="TF15" s="22"/>
      <c r="TG15" s="22"/>
      <c r="TH15" s="22"/>
      <c r="TI15" s="22"/>
      <c r="TJ15" s="22"/>
      <c r="TK15" s="22"/>
      <c r="TL15" s="22"/>
      <c r="TM15" s="22"/>
      <c r="TN15" s="22"/>
      <c r="TO15" s="22"/>
      <c r="TP15" s="22"/>
      <c r="TQ15" s="22"/>
      <c r="TR15" s="22"/>
      <c r="TS15" s="22"/>
      <c r="TT15" s="22"/>
      <c r="TU15" s="22"/>
      <c r="TV15" s="22"/>
      <c r="TW15" s="22"/>
      <c r="TX15" s="22"/>
      <c r="TY15" s="22"/>
      <c r="TZ15" s="22"/>
      <c r="UA15" s="22"/>
      <c r="UB15" s="22"/>
      <c r="UC15" s="22"/>
      <c r="UD15" s="22"/>
      <c r="UE15" s="22"/>
      <c r="UF15" s="22"/>
      <c r="UG15" s="22"/>
      <c r="UH15" s="22"/>
      <c r="UI15" s="22"/>
      <c r="UJ15" s="22"/>
      <c r="UK15" s="22"/>
      <c r="UL15" s="22"/>
      <c r="UM15" s="22"/>
      <c r="UN15" s="22"/>
      <c r="UO15" s="22"/>
      <c r="UP15" s="22"/>
      <c r="UQ15" s="22"/>
      <c r="UR15" s="22"/>
      <c r="US15" s="22"/>
      <c r="UT15" s="22"/>
      <c r="UU15" s="22"/>
      <c r="UV15" s="22"/>
      <c r="UW15" s="22"/>
      <c r="UX15" s="22"/>
      <c r="UY15" s="22"/>
      <c r="UZ15" s="22"/>
      <c r="VA15" s="22"/>
      <c r="VB15" s="22"/>
      <c r="VC15" s="22"/>
      <c r="VD15" s="22"/>
      <c r="VE15" s="22"/>
      <c r="VF15" s="22"/>
      <c r="VG15" s="22"/>
      <c r="VH15" s="22"/>
      <c r="VI15" s="22"/>
      <c r="VJ15" s="22"/>
      <c r="VK15" s="22"/>
      <c r="VL15" s="22"/>
      <c r="VM15" s="22"/>
      <c r="VN15" s="22"/>
      <c r="VO15" s="22"/>
      <c r="VP15" s="22"/>
      <c r="VQ15" s="22"/>
      <c r="VR15" s="22"/>
      <c r="VS15" s="22"/>
      <c r="VT15" s="22"/>
      <c r="VU15" s="22"/>
      <c r="VV15" s="22"/>
      <c r="VW15" s="22"/>
      <c r="VX15" s="22"/>
      <c r="VY15" s="22"/>
      <c r="VZ15" s="22"/>
      <c r="WA15" s="22"/>
      <c r="WB15" s="22"/>
      <c r="WC15" s="22"/>
      <c r="WD15" s="22"/>
      <c r="WE15" s="22"/>
      <c r="WF15" s="22"/>
      <c r="WG15" s="22"/>
      <c r="WH15" s="22"/>
      <c r="WI15" s="22"/>
      <c r="WJ15" s="22"/>
      <c r="WK15" s="22"/>
      <c r="WL15" s="22"/>
      <c r="WM15" s="22"/>
      <c r="WN15" s="22"/>
      <c r="WO15" s="22"/>
      <c r="WP15" s="22"/>
      <c r="WQ15" s="22"/>
      <c r="WR15" s="22"/>
      <c r="WS15" s="22"/>
      <c r="WT15" s="22"/>
      <c r="WU15" s="22"/>
      <c r="WV15" s="22"/>
      <c r="WW15" s="22"/>
      <c r="WX15" s="22"/>
      <c r="WY15" s="22"/>
      <c r="WZ15" s="22"/>
      <c r="XA15" s="22"/>
      <c r="XB15" s="22"/>
      <c r="XC15" s="22"/>
      <c r="XD15" s="22"/>
      <c r="XE15" s="22"/>
      <c r="XF15" s="22"/>
      <c r="XG15" s="22"/>
      <c r="XH15" s="22"/>
      <c r="XI15" s="22"/>
      <c r="XJ15" s="22"/>
      <c r="XK15" s="22"/>
      <c r="XL15" s="22"/>
      <c r="XM15" s="22"/>
      <c r="XN15" s="22"/>
      <c r="XO15" s="22"/>
      <c r="XP15" s="22"/>
      <c r="XQ15" s="22"/>
      <c r="XR15" s="22"/>
      <c r="XS15" s="22"/>
      <c r="XT15" s="22"/>
      <c r="XU15" s="22"/>
      <c r="XV15" s="22"/>
      <c r="XW15" s="22"/>
      <c r="XX15" s="22"/>
      <c r="XY15" s="22"/>
      <c r="XZ15" s="22"/>
      <c r="YA15" s="22"/>
      <c r="YB15" s="22"/>
      <c r="YC15" s="22"/>
      <c r="YD15" s="22"/>
      <c r="YE15" s="22"/>
      <c r="YF15" s="22"/>
      <c r="YG15" s="22"/>
      <c r="YH15" s="22"/>
      <c r="YI15" s="22"/>
      <c r="YJ15" s="22"/>
      <c r="YK15" s="22"/>
      <c r="YL15" s="22"/>
      <c r="YM15" s="22"/>
      <c r="YN15" s="22"/>
      <c r="YO15" s="22"/>
      <c r="YP15" s="22"/>
      <c r="YQ15" s="22"/>
      <c r="YR15" s="22"/>
      <c r="YS15" s="22"/>
      <c r="YT15" s="22"/>
      <c r="YU15" s="22"/>
      <c r="YV15" s="22"/>
      <c r="YW15" s="22"/>
      <c r="YX15" s="22"/>
      <c r="YY15" s="22"/>
      <c r="YZ15" s="22"/>
      <c r="ZA15" s="22"/>
      <c r="ZB15" s="22"/>
      <c r="ZC15" s="22"/>
      <c r="ZD15" s="22"/>
      <c r="ZE15" s="22"/>
      <c r="ZF15" s="22"/>
      <c r="ZG15" s="22"/>
      <c r="ZH15" s="22"/>
      <c r="ZI15" s="22"/>
      <c r="ZJ15" s="22"/>
      <c r="ZK15" s="22"/>
      <c r="ZL15" s="22"/>
      <c r="ZM15" s="22"/>
      <c r="ZN15" s="22"/>
      <c r="ZO15" s="22"/>
      <c r="ZP15" s="22"/>
      <c r="ZQ15" s="22"/>
      <c r="ZR15" s="22"/>
      <c r="ZS15" s="22"/>
      <c r="ZT15" s="22"/>
      <c r="ZU15" s="22"/>
      <c r="ZV15" s="22"/>
      <c r="ZW15" s="22"/>
      <c r="ZX15" s="22"/>
      <c r="ZY15" s="22"/>
      <c r="ZZ15" s="22"/>
      <c r="AAA15" s="22"/>
      <c r="AAB15" s="22"/>
      <c r="AAC15" s="22"/>
      <c r="AAD15" s="22"/>
      <c r="AAE15" s="22"/>
      <c r="AAF15" s="22"/>
      <c r="AAG15" s="22"/>
      <c r="AAH15" s="22"/>
      <c r="AAI15" s="22"/>
      <c r="AAJ15" s="22"/>
      <c r="AAK15" s="22"/>
      <c r="AAL15" s="22"/>
      <c r="AAM15" s="22"/>
      <c r="AAN15" s="22"/>
      <c r="AAO15" s="22"/>
      <c r="AAP15" s="22"/>
      <c r="AAQ15" s="22"/>
      <c r="AAR15" s="22"/>
      <c r="AAS15" s="22"/>
      <c r="AAT15" s="22"/>
      <c r="AAU15" s="22"/>
      <c r="AAV15" s="22"/>
      <c r="AAW15" s="22"/>
      <c r="AAX15" s="22"/>
      <c r="AAY15" s="22"/>
      <c r="AAZ15" s="22"/>
      <c r="ABA15" s="22"/>
      <c r="ABB15" s="22"/>
      <c r="ABC15" s="22"/>
    </row>
    <row r="16" spans="1:731" ht="15" customHeight="1" x14ac:dyDescent="0.3">
      <c r="A16" s="422"/>
      <c r="B16" s="435"/>
      <c r="C16" s="296"/>
      <c r="D16" s="9" t="s">
        <v>13</v>
      </c>
      <c r="E16" s="10" t="s">
        <v>23</v>
      </c>
      <c r="F16" s="47">
        <f>J16/$F$2</f>
        <v>87.999929197207962</v>
      </c>
      <c r="G16" s="48">
        <f>K16/$F$2</f>
        <v>96.687638506913245</v>
      </c>
      <c r="H16" s="52">
        <f t="shared" si="15"/>
        <v>-8.6877093097052835</v>
      </c>
      <c r="I16" s="14">
        <f t="shared" si="1"/>
        <v>-8.9853361234839807E-2</v>
      </c>
      <c r="J16" s="47">
        <f>26270724/1000</f>
        <v>26270.723999999998</v>
      </c>
      <c r="K16" s="48">
        <f>28864276.2397527/1000</f>
        <v>28864.2762397527</v>
      </c>
      <c r="L16" s="52">
        <f t="shared" si="16"/>
        <v>-2593.552239752702</v>
      </c>
      <c r="M16" s="14">
        <f t="shared" si="21"/>
        <v>-8.9853361234839779E-2</v>
      </c>
      <c r="N16" s="33">
        <f>21494661/1000</f>
        <v>21494.661</v>
      </c>
      <c r="O16" s="34">
        <f>21432523.143327/1000</f>
        <v>21432.523143327002</v>
      </c>
      <c r="P16" s="52">
        <f t="shared" si="17"/>
        <v>62.137856672998169</v>
      </c>
      <c r="Q16" s="14">
        <f t="shared" si="2"/>
        <v>2.8992319876413961E-3</v>
      </c>
      <c r="R16" s="33">
        <f>77971/1000</f>
        <v>77.971000000000004</v>
      </c>
      <c r="S16" s="34">
        <f>88052.7397260274/1000</f>
        <v>88.052739726027397</v>
      </c>
      <c r="T16" s="52">
        <f t="shared" si="18"/>
        <v>-10.081739726027394</v>
      </c>
      <c r="U16" s="14">
        <f t="shared" si="3"/>
        <v>-0.11449660461896276</v>
      </c>
      <c r="V16" s="33">
        <f>9352879/1000</f>
        <v>9352.8790000000008</v>
      </c>
      <c r="W16" s="34">
        <f>10143276.1558724/1000</f>
        <v>10143.276155872401</v>
      </c>
      <c r="X16" s="52">
        <f t="shared" si="19"/>
        <v>-790.39715587240062</v>
      </c>
      <c r="Y16" s="14">
        <f t="shared" si="4"/>
        <v>-7.7923261057503981E-2</v>
      </c>
      <c r="Z16" s="33">
        <f>12219752.82/1000</f>
        <v>12219.75282</v>
      </c>
      <c r="AA16" s="34">
        <f>11377299.7271806/1000</f>
        <v>11377.2997271806</v>
      </c>
      <c r="AB16" s="52">
        <f t="shared" si="20"/>
        <v>842.4530928193999</v>
      </c>
      <c r="AC16" s="19">
        <f t="shared" si="5"/>
        <v>7.4046840025385141E-2</v>
      </c>
      <c r="AD16" s="131">
        <f>3801215.82/1000</f>
        <v>3801.2158199999999</v>
      </c>
      <c r="AE16" s="303">
        <v>0</v>
      </c>
      <c r="AF16" s="108">
        <f t="shared" si="6"/>
        <v>3801.2158199999999</v>
      </c>
      <c r="AG16" s="113">
        <v>0</v>
      </c>
      <c r="AH16" s="143"/>
      <c r="AI16" s="127"/>
      <c r="AJ16" s="108">
        <f t="shared" si="8"/>
        <v>0</v>
      </c>
      <c r="AK16" s="19">
        <v>0</v>
      </c>
      <c r="AL16" s="142">
        <f>8418537/1000</f>
        <v>8418.5370000000003</v>
      </c>
      <c r="AM16" s="133">
        <f>11377299.7271806/1000</f>
        <v>11377.2997271806</v>
      </c>
      <c r="AN16" s="13">
        <f t="shared" si="9"/>
        <v>-2958.7627271805995</v>
      </c>
      <c r="AO16" s="244">
        <f t="shared" si="10"/>
        <v>-0.26005843197679457</v>
      </c>
      <c r="AP16" s="111" t="s">
        <v>106</v>
      </c>
      <c r="AQ16" s="22"/>
      <c r="AR16" s="1">
        <f t="shared" si="11"/>
        <v>1.8000000090978574E-4</v>
      </c>
      <c r="AS16" s="1">
        <f t="shared" si="12"/>
        <v>2.7284841053187847E-11</v>
      </c>
      <c r="AT16" s="1">
        <f t="shared" si="13"/>
        <v>0</v>
      </c>
      <c r="AU16" s="1">
        <f>(AA16-AE16+AI16)-AM16</f>
        <v>0</v>
      </c>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c r="IW16" s="22"/>
      <c r="IX16" s="22"/>
      <c r="IY16" s="22"/>
      <c r="IZ16" s="22"/>
      <c r="JA16" s="22"/>
      <c r="JB16" s="22"/>
      <c r="JC16" s="22"/>
      <c r="JD16" s="22"/>
      <c r="JE16" s="22"/>
      <c r="JF16" s="22"/>
      <c r="JG16" s="22"/>
      <c r="JH16" s="22"/>
      <c r="JI16" s="22"/>
      <c r="JJ16" s="22"/>
      <c r="JK16" s="22"/>
      <c r="JL16" s="22"/>
      <c r="JM16" s="22"/>
      <c r="JN16" s="22"/>
      <c r="JO16" s="22"/>
      <c r="JP16" s="22"/>
      <c r="JQ16" s="22"/>
      <c r="JR16" s="22"/>
      <c r="JS16" s="22"/>
      <c r="JT16" s="22"/>
      <c r="JU16" s="22"/>
      <c r="JV16" s="22"/>
      <c r="JW16" s="22"/>
      <c r="JX16" s="22"/>
      <c r="JY16" s="22"/>
      <c r="JZ16" s="22"/>
      <c r="KA16" s="22"/>
      <c r="KB16" s="22"/>
      <c r="KC16" s="22"/>
      <c r="KD16" s="22"/>
      <c r="KE16" s="22"/>
      <c r="KF16" s="22"/>
      <c r="KG16" s="22"/>
      <c r="KH16" s="22"/>
      <c r="KI16" s="22"/>
      <c r="KJ16" s="22"/>
      <c r="KK16" s="22"/>
      <c r="KL16" s="22"/>
      <c r="KM16" s="22"/>
      <c r="KN16" s="22"/>
      <c r="KO16" s="22"/>
      <c r="KP16" s="22"/>
      <c r="KQ16" s="22"/>
      <c r="KR16" s="22"/>
      <c r="KS16" s="22"/>
      <c r="KT16" s="22"/>
      <c r="KU16" s="22"/>
      <c r="KV16" s="22"/>
      <c r="KW16" s="22"/>
      <c r="KX16" s="22"/>
      <c r="KY16" s="22"/>
      <c r="KZ16" s="22"/>
      <c r="LA16" s="22"/>
      <c r="LB16" s="22"/>
      <c r="LC16" s="22"/>
      <c r="LD16" s="22"/>
      <c r="LE16" s="22"/>
      <c r="LF16" s="22"/>
      <c r="LG16" s="22"/>
      <c r="LH16" s="22"/>
      <c r="LI16" s="22"/>
      <c r="LJ16" s="22"/>
      <c r="LK16" s="22"/>
      <c r="LL16" s="22"/>
      <c r="LM16" s="22"/>
      <c r="LN16" s="22"/>
      <c r="LO16" s="22"/>
      <c r="LP16" s="22"/>
      <c r="LQ16" s="22"/>
      <c r="LR16" s="22"/>
      <c r="LS16" s="22"/>
      <c r="LT16" s="22"/>
      <c r="LU16" s="22"/>
      <c r="LV16" s="22"/>
      <c r="LW16" s="22"/>
      <c r="LX16" s="22"/>
      <c r="LY16" s="22"/>
      <c r="LZ16" s="22"/>
      <c r="MA16" s="22"/>
      <c r="MB16" s="22"/>
      <c r="MC16" s="22"/>
      <c r="MD16" s="22"/>
      <c r="ME16" s="22"/>
      <c r="MF16" s="22"/>
      <c r="MG16" s="22"/>
      <c r="MH16" s="22"/>
      <c r="MI16" s="22"/>
      <c r="MJ16" s="22"/>
      <c r="MK16" s="22"/>
      <c r="ML16" s="22"/>
      <c r="MM16" s="22"/>
      <c r="MN16" s="22"/>
      <c r="MO16" s="22"/>
      <c r="MP16" s="22"/>
      <c r="MQ16" s="22"/>
      <c r="MR16" s="22"/>
      <c r="MS16" s="22"/>
      <c r="MT16" s="22"/>
      <c r="MU16" s="22"/>
      <c r="MV16" s="22"/>
      <c r="MW16" s="22"/>
      <c r="MX16" s="22"/>
      <c r="MY16" s="22"/>
      <c r="MZ16" s="22"/>
      <c r="NA16" s="22"/>
      <c r="NB16" s="22"/>
      <c r="NC16" s="22"/>
      <c r="ND16" s="22"/>
      <c r="NE16" s="22"/>
      <c r="NF16" s="22"/>
      <c r="NG16" s="22"/>
      <c r="NH16" s="22"/>
      <c r="NI16" s="22"/>
      <c r="NJ16" s="22"/>
      <c r="NK16" s="22"/>
      <c r="NL16" s="22"/>
      <c r="NM16" s="22"/>
      <c r="NN16" s="22"/>
      <c r="NO16" s="22"/>
      <c r="NP16" s="22"/>
      <c r="NQ16" s="22"/>
      <c r="NR16" s="22"/>
      <c r="NS16" s="22"/>
      <c r="NT16" s="22"/>
      <c r="NU16" s="22"/>
      <c r="NV16" s="22"/>
      <c r="NW16" s="22"/>
      <c r="NX16" s="22"/>
      <c r="NY16" s="22"/>
      <c r="NZ16" s="22"/>
      <c r="OA16" s="22"/>
      <c r="OB16" s="22"/>
      <c r="OC16" s="22"/>
      <c r="OD16" s="22"/>
      <c r="OE16" s="22"/>
      <c r="OF16" s="22"/>
      <c r="OG16" s="22"/>
      <c r="OH16" s="22"/>
      <c r="OI16" s="22"/>
      <c r="OJ16" s="22"/>
      <c r="OK16" s="22"/>
      <c r="OL16" s="22"/>
      <c r="OM16" s="22"/>
      <c r="ON16" s="22"/>
      <c r="OO16" s="22"/>
      <c r="OP16" s="22"/>
      <c r="OQ16" s="22"/>
      <c r="OR16" s="22"/>
      <c r="OS16" s="22"/>
      <c r="OT16" s="22"/>
      <c r="OU16" s="22"/>
      <c r="OV16" s="22"/>
      <c r="OW16" s="22"/>
      <c r="OX16" s="22"/>
      <c r="OY16" s="22"/>
      <c r="OZ16" s="22"/>
      <c r="PA16" s="22"/>
      <c r="PB16" s="22"/>
      <c r="PC16" s="22"/>
      <c r="PD16" s="22"/>
      <c r="PE16" s="22"/>
      <c r="PF16" s="22"/>
      <c r="PG16" s="22"/>
      <c r="PH16" s="22"/>
      <c r="PI16" s="22"/>
      <c r="PJ16" s="22"/>
      <c r="PK16" s="22"/>
      <c r="PL16" s="22"/>
      <c r="PM16" s="22"/>
      <c r="PN16" s="22"/>
      <c r="PO16" s="22"/>
      <c r="PP16" s="22"/>
      <c r="PQ16" s="22"/>
      <c r="PR16" s="22"/>
      <c r="PS16" s="22"/>
      <c r="PT16" s="22"/>
      <c r="PU16" s="22"/>
      <c r="PV16" s="22"/>
      <c r="PW16" s="22"/>
      <c r="PX16" s="22"/>
      <c r="PY16" s="22"/>
      <c r="PZ16" s="22"/>
      <c r="QA16" s="22"/>
      <c r="QB16" s="22"/>
      <c r="QC16" s="22"/>
      <c r="QD16" s="22"/>
      <c r="QE16" s="22"/>
      <c r="QF16" s="22"/>
      <c r="QG16" s="22"/>
      <c r="QH16" s="22"/>
      <c r="QI16" s="22"/>
      <c r="QJ16" s="22"/>
      <c r="QK16" s="22"/>
      <c r="QL16" s="22"/>
      <c r="QM16" s="22"/>
      <c r="QN16" s="22"/>
      <c r="QO16" s="22"/>
      <c r="QP16" s="22"/>
      <c r="QQ16" s="22"/>
      <c r="QR16" s="22"/>
      <c r="QS16" s="22"/>
      <c r="QT16" s="22"/>
      <c r="QU16" s="22"/>
      <c r="QV16" s="22"/>
      <c r="QW16" s="22"/>
      <c r="QX16" s="22"/>
      <c r="QY16" s="22"/>
      <c r="QZ16" s="22"/>
      <c r="RA16" s="22"/>
      <c r="RB16" s="22"/>
      <c r="RC16" s="22"/>
      <c r="RD16" s="22"/>
      <c r="RE16" s="22"/>
      <c r="RF16" s="22"/>
      <c r="RG16" s="22"/>
      <c r="RH16" s="22"/>
      <c r="RI16" s="22"/>
      <c r="RJ16" s="22"/>
      <c r="RK16" s="22"/>
      <c r="RL16" s="22"/>
      <c r="RM16" s="22"/>
      <c r="RN16" s="22"/>
      <c r="RO16" s="22"/>
      <c r="RP16" s="22"/>
      <c r="RQ16" s="22"/>
      <c r="RR16" s="22"/>
      <c r="RS16" s="22"/>
      <c r="RT16" s="22"/>
      <c r="RU16" s="22"/>
      <c r="RV16" s="22"/>
      <c r="RW16" s="22"/>
      <c r="RX16" s="22"/>
      <c r="RY16" s="22"/>
      <c r="RZ16" s="22"/>
      <c r="SA16" s="22"/>
      <c r="SB16" s="22"/>
      <c r="SC16" s="22"/>
      <c r="SD16" s="22"/>
      <c r="SE16" s="22"/>
      <c r="SF16" s="22"/>
      <c r="SG16" s="22"/>
      <c r="SH16" s="22"/>
      <c r="SI16" s="22"/>
      <c r="SJ16" s="22"/>
      <c r="SK16" s="22"/>
      <c r="SL16" s="22"/>
      <c r="SM16" s="22"/>
      <c r="SN16" s="22"/>
      <c r="SO16" s="22"/>
      <c r="SP16" s="22"/>
      <c r="SQ16" s="22"/>
      <c r="SR16" s="22"/>
      <c r="SS16" s="22"/>
      <c r="ST16" s="22"/>
      <c r="SU16" s="22"/>
      <c r="SV16" s="22"/>
      <c r="SW16" s="22"/>
      <c r="SX16" s="22"/>
      <c r="SY16" s="22"/>
      <c r="SZ16" s="22"/>
      <c r="TA16" s="22"/>
      <c r="TB16" s="22"/>
      <c r="TC16" s="22"/>
      <c r="TD16" s="22"/>
      <c r="TE16" s="22"/>
      <c r="TF16" s="22"/>
      <c r="TG16" s="22"/>
      <c r="TH16" s="22"/>
      <c r="TI16" s="22"/>
      <c r="TJ16" s="22"/>
      <c r="TK16" s="22"/>
      <c r="TL16" s="22"/>
      <c r="TM16" s="22"/>
      <c r="TN16" s="22"/>
      <c r="TO16" s="22"/>
      <c r="TP16" s="22"/>
      <c r="TQ16" s="22"/>
      <c r="TR16" s="22"/>
      <c r="TS16" s="22"/>
      <c r="TT16" s="22"/>
      <c r="TU16" s="22"/>
      <c r="TV16" s="22"/>
      <c r="TW16" s="22"/>
      <c r="TX16" s="22"/>
      <c r="TY16" s="22"/>
      <c r="TZ16" s="22"/>
      <c r="UA16" s="22"/>
      <c r="UB16" s="22"/>
      <c r="UC16" s="22"/>
      <c r="UD16" s="22"/>
      <c r="UE16" s="22"/>
      <c r="UF16" s="22"/>
      <c r="UG16" s="22"/>
      <c r="UH16" s="22"/>
      <c r="UI16" s="22"/>
      <c r="UJ16" s="22"/>
      <c r="UK16" s="22"/>
      <c r="UL16" s="22"/>
      <c r="UM16" s="22"/>
      <c r="UN16" s="22"/>
      <c r="UO16" s="22"/>
      <c r="UP16" s="22"/>
      <c r="UQ16" s="22"/>
      <c r="UR16" s="22"/>
      <c r="US16" s="22"/>
      <c r="UT16" s="22"/>
      <c r="UU16" s="22"/>
      <c r="UV16" s="22"/>
      <c r="UW16" s="22"/>
      <c r="UX16" s="22"/>
      <c r="UY16" s="22"/>
      <c r="UZ16" s="22"/>
      <c r="VA16" s="22"/>
      <c r="VB16" s="22"/>
      <c r="VC16" s="22"/>
      <c r="VD16" s="22"/>
      <c r="VE16" s="22"/>
      <c r="VF16" s="22"/>
      <c r="VG16" s="22"/>
      <c r="VH16" s="22"/>
      <c r="VI16" s="22"/>
      <c r="VJ16" s="22"/>
      <c r="VK16" s="22"/>
      <c r="VL16" s="22"/>
      <c r="VM16" s="22"/>
      <c r="VN16" s="22"/>
      <c r="VO16" s="22"/>
      <c r="VP16" s="22"/>
      <c r="VQ16" s="22"/>
      <c r="VR16" s="22"/>
      <c r="VS16" s="22"/>
      <c r="VT16" s="22"/>
      <c r="VU16" s="22"/>
      <c r="VV16" s="22"/>
      <c r="VW16" s="22"/>
      <c r="VX16" s="22"/>
      <c r="VY16" s="22"/>
      <c r="VZ16" s="22"/>
      <c r="WA16" s="22"/>
      <c r="WB16" s="22"/>
      <c r="WC16" s="22"/>
      <c r="WD16" s="22"/>
      <c r="WE16" s="22"/>
      <c r="WF16" s="22"/>
      <c r="WG16" s="22"/>
      <c r="WH16" s="22"/>
      <c r="WI16" s="22"/>
      <c r="WJ16" s="22"/>
      <c r="WK16" s="22"/>
      <c r="WL16" s="22"/>
      <c r="WM16" s="22"/>
      <c r="WN16" s="22"/>
      <c r="WO16" s="22"/>
      <c r="WP16" s="22"/>
      <c r="WQ16" s="22"/>
      <c r="WR16" s="22"/>
      <c r="WS16" s="22"/>
      <c r="WT16" s="22"/>
      <c r="WU16" s="22"/>
      <c r="WV16" s="22"/>
      <c r="WW16" s="22"/>
      <c r="WX16" s="22"/>
      <c r="WY16" s="22"/>
      <c r="WZ16" s="22"/>
      <c r="XA16" s="22"/>
      <c r="XB16" s="22"/>
      <c r="XC16" s="22"/>
      <c r="XD16" s="22"/>
      <c r="XE16" s="22"/>
      <c r="XF16" s="22"/>
      <c r="XG16" s="22"/>
      <c r="XH16" s="22"/>
      <c r="XI16" s="22"/>
      <c r="XJ16" s="22"/>
      <c r="XK16" s="22"/>
      <c r="XL16" s="22"/>
      <c r="XM16" s="22"/>
      <c r="XN16" s="22"/>
      <c r="XO16" s="22"/>
      <c r="XP16" s="22"/>
      <c r="XQ16" s="22"/>
      <c r="XR16" s="22"/>
      <c r="XS16" s="22"/>
      <c r="XT16" s="22"/>
      <c r="XU16" s="22"/>
      <c r="XV16" s="22"/>
      <c r="XW16" s="22"/>
      <c r="XX16" s="22"/>
      <c r="XY16" s="22"/>
      <c r="XZ16" s="22"/>
      <c r="YA16" s="22"/>
      <c r="YB16" s="22"/>
      <c r="YC16" s="22"/>
      <c r="YD16" s="22"/>
      <c r="YE16" s="22"/>
      <c r="YF16" s="22"/>
      <c r="YG16" s="22"/>
      <c r="YH16" s="22"/>
      <c r="YI16" s="22"/>
      <c r="YJ16" s="22"/>
      <c r="YK16" s="22"/>
      <c r="YL16" s="22"/>
      <c r="YM16" s="22"/>
      <c r="YN16" s="22"/>
      <c r="YO16" s="22"/>
      <c r="YP16" s="22"/>
      <c r="YQ16" s="22"/>
      <c r="YR16" s="22"/>
      <c r="YS16" s="22"/>
      <c r="YT16" s="22"/>
      <c r="YU16" s="22"/>
      <c r="YV16" s="22"/>
      <c r="YW16" s="22"/>
      <c r="YX16" s="22"/>
      <c r="YY16" s="22"/>
      <c r="YZ16" s="22"/>
      <c r="ZA16" s="22"/>
      <c r="ZB16" s="22"/>
      <c r="ZC16" s="22"/>
      <c r="ZD16" s="22"/>
      <c r="ZE16" s="22"/>
      <c r="ZF16" s="22"/>
      <c r="ZG16" s="22"/>
      <c r="ZH16" s="22"/>
      <c r="ZI16" s="22"/>
      <c r="ZJ16" s="22"/>
      <c r="ZK16" s="22"/>
      <c r="ZL16" s="22"/>
      <c r="ZM16" s="22"/>
      <c r="ZN16" s="22"/>
      <c r="ZO16" s="22"/>
      <c r="ZP16" s="22"/>
      <c r="ZQ16" s="22"/>
      <c r="ZR16" s="22"/>
      <c r="ZS16" s="22"/>
      <c r="ZT16" s="22"/>
      <c r="ZU16" s="22"/>
      <c r="ZV16" s="22"/>
      <c r="ZW16" s="22"/>
      <c r="ZX16" s="22"/>
      <c r="ZY16" s="22"/>
      <c r="ZZ16" s="22"/>
      <c r="AAA16" s="22"/>
      <c r="AAB16" s="22"/>
      <c r="AAC16" s="22"/>
      <c r="AAD16" s="22"/>
      <c r="AAE16" s="22"/>
      <c r="AAF16" s="22"/>
      <c r="AAG16" s="22"/>
      <c r="AAH16" s="22"/>
      <c r="AAI16" s="22"/>
      <c r="AAJ16" s="22"/>
      <c r="AAK16" s="22"/>
      <c r="AAL16" s="22"/>
      <c r="AAM16" s="22"/>
      <c r="AAN16" s="22"/>
      <c r="AAO16" s="22"/>
      <c r="AAP16" s="22"/>
      <c r="AAQ16" s="22"/>
      <c r="AAR16" s="22"/>
      <c r="AAS16" s="22"/>
      <c r="AAT16" s="22"/>
      <c r="AAU16" s="22"/>
      <c r="AAV16" s="22"/>
      <c r="AAW16" s="22"/>
      <c r="AAX16" s="22"/>
      <c r="AAY16" s="22"/>
      <c r="AAZ16" s="22"/>
      <c r="ABA16" s="22"/>
      <c r="ABB16" s="22"/>
      <c r="ABC16" s="22"/>
    </row>
    <row r="17" spans="1:731" ht="15" customHeight="1" thickBot="1" x14ac:dyDescent="0.35">
      <c r="A17" s="408"/>
      <c r="B17" s="435"/>
      <c r="C17" s="297"/>
      <c r="D17" s="313" t="s">
        <v>11</v>
      </c>
      <c r="E17" s="30" t="s">
        <v>24</v>
      </c>
      <c r="F17" s="47">
        <f>J17/$F$2</f>
        <v>115.23154201799279</v>
      </c>
      <c r="G17" s="48">
        <f>K17/$F$2</f>
        <v>115.8735921020635</v>
      </c>
      <c r="H17" s="31">
        <f t="shared" si="15"/>
        <v>-0.64205008407070352</v>
      </c>
      <c r="I17" s="156">
        <f t="shared" si="1"/>
        <v>-5.5409526227958349E-3</v>
      </c>
      <c r="J17" s="47">
        <f>34400209.91/1000</f>
        <v>34400.209909999998</v>
      </c>
      <c r="K17" s="48">
        <f>'[84]P&amp;L'!$CW$17/1000</f>
        <v>34591.881888678516</v>
      </c>
      <c r="L17" s="31">
        <f t="shared" si="16"/>
        <v>-191.67197867851792</v>
      </c>
      <c r="M17" s="156">
        <f t="shared" si="21"/>
        <v>-5.5409526227958627E-3</v>
      </c>
      <c r="N17" s="33">
        <f>16242965.446/1000</f>
        <v>16242.965446</v>
      </c>
      <c r="O17" s="34">
        <f>'[84]P&amp;L'!$CW$51/1000</f>
        <v>14714.816764728977</v>
      </c>
      <c r="P17" s="31">
        <f t="shared" si="17"/>
        <v>1528.1486812710227</v>
      </c>
      <c r="Q17" s="156">
        <f t="shared" si="2"/>
        <v>0.10385101667959293</v>
      </c>
      <c r="R17" s="33">
        <f>43842.15/1000</f>
        <v>43.842150000000004</v>
      </c>
      <c r="S17" s="34">
        <f>'[84]P&amp;L'!$CW$59/1000</f>
        <v>16.025842916666676</v>
      </c>
      <c r="T17" s="31">
        <f t="shared" si="18"/>
        <v>27.816307083333328</v>
      </c>
      <c r="U17" s="156">
        <f t="shared" si="3"/>
        <v>1.7357156954536674</v>
      </c>
      <c r="V17" s="33">
        <f>11848155.65/1000</f>
        <v>11848.155650000001</v>
      </c>
      <c r="W17" s="34">
        <f>'[84]P&amp;L'!$CW$143/1000</f>
        <v>10563.745784144929</v>
      </c>
      <c r="X17" s="31">
        <f t="shared" si="19"/>
        <v>1284.409865855072</v>
      </c>
      <c r="Y17" s="156">
        <f t="shared" si="4"/>
        <v>0.12158659362882777</v>
      </c>
      <c r="Z17" s="33">
        <f>4438651.94599999/1000</f>
        <v>4438.6519459999899</v>
      </c>
      <c r="AA17" s="34">
        <f>'[84]P&amp;L'!$CW$145/1000</f>
        <v>4167.0968235007158</v>
      </c>
      <c r="AB17" s="31">
        <f t="shared" si="20"/>
        <v>271.55512249927415</v>
      </c>
      <c r="AC17" s="158">
        <f t="shared" si="5"/>
        <v>6.5166501763965434E-2</v>
      </c>
      <c r="AD17" s="206">
        <v>0</v>
      </c>
      <c r="AE17" s="207">
        <v>0</v>
      </c>
      <c r="AF17" s="161">
        <f t="shared" si="6"/>
        <v>0</v>
      </c>
      <c r="AG17" s="162">
        <v>0</v>
      </c>
      <c r="AH17" s="210">
        <v>0</v>
      </c>
      <c r="AI17" s="208">
        <v>0</v>
      </c>
      <c r="AJ17" s="161">
        <f t="shared" si="8"/>
        <v>0</v>
      </c>
      <c r="AK17" s="158">
        <v>0</v>
      </c>
      <c r="AL17" s="175">
        <f>Z17</f>
        <v>4438.6519459999899</v>
      </c>
      <c r="AM17" s="164">
        <f>AA17</f>
        <v>4167.0968235007158</v>
      </c>
      <c r="AN17" s="165">
        <f t="shared" si="9"/>
        <v>271.55512249927415</v>
      </c>
      <c r="AO17" s="301">
        <f t="shared" si="10"/>
        <v>6.5166501763965434E-2</v>
      </c>
      <c r="AP17" s="111" t="s">
        <v>107</v>
      </c>
      <c r="AQ17" s="22"/>
      <c r="AR17" s="1">
        <f t="shared" si="11"/>
        <v>1.0004441719502211E-11</v>
      </c>
      <c r="AS17" s="1">
        <f t="shared" si="12"/>
        <v>0</v>
      </c>
      <c r="AT17" s="1">
        <f t="shared" si="13"/>
        <v>0</v>
      </c>
      <c r="AU17" s="1">
        <f t="shared" si="14"/>
        <v>0</v>
      </c>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c r="IS17" s="22"/>
      <c r="IT17" s="22"/>
      <c r="IU17" s="22"/>
      <c r="IV17" s="22"/>
      <c r="IW17" s="22"/>
      <c r="IX17" s="22"/>
      <c r="IY17" s="22"/>
      <c r="IZ17" s="22"/>
      <c r="JA17" s="22"/>
      <c r="JB17" s="22"/>
      <c r="JC17" s="22"/>
      <c r="JD17" s="22"/>
      <c r="JE17" s="22"/>
      <c r="JF17" s="22"/>
      <c r="JG17" s="22"/>
      <c r="JH17" s="22"/>
      <c r="JI17" s="22"/>
      <c r="JJ17" s="22"/>
      <c r="JK17" s="22"/>
      <c r="JL17" s="22"/>
      <c r="JM17" s="22"/>
      <c r="JN17" s="22"/>
      <c r="JO17" s="22"/>
      <c r="JP17" s="22"/>
      <c r="JQ17" s="22"/>
      <c r="JR17" s="22"/>
      <c r="JS17" s="22"/>
      <c r="JT17" s="22"/>
      <c r="JU17" s="22"/>
      <c r="JV17" s="22"/>
      <c r="JW17" s="22"/>
      <c r="JX17" s="22"/>
      <c r="JY17" s="22"/>
      <c r="JZ17" s="22"/>
      <c r="KA17" s="22"/>
      <c r="KB17" s="22"/>
      <c r="KC17" s="22"/>
      <c r="KD17" s="22"/>
      <c r="KE17" s="22"/>
      <c r="KF17" s="22"/>
      <c r="KG17" s="22"/>
      <c r="KH17" s="22"/>
      <c r="KI17" s="22"/>
      <c r="KJ17" s="22"/>
      <c r="KK17" s="22"/>
      <c r="KL17" s="22"/>
      <c r="KM17" s="22"/>
      <c r="KN17" s="22"/>
      <c r="KO17" s="22"/>
      <c r="KP17" s="22"/>
      <c r="KQ17" s="22"/>
      <c r="KR17" s="22"/>
      <c r="KS17" s="22"/>
      <c r="KT17" s="22"/>
      <c r="KU17" s="22"/>
      <c r="KV17" s="22"/>
      <c r="KW17" s="22"/>
      <c r="KX17" s="22"/>
      <c r="KY17" s="22"/>
      <c r="KZ17" s="22"/>
      <c r="LA17" s="22"/>
      <c r="LB17" s="22"/>
      <c r="LC17" s="22"/>
      <c r="LD17" s="22"/>
      <c r="LE17" s="22"/>
      <c r="LF17" s="22"/>
      <c r="LG17" s="22"/>
      <c r="LH17" s="22"/>
      <c r="LI17" s="22"/>
      <c r="LJ17" s="22"/>
      <c r="LK17" s="22"/>
      <c r="LL17" s="22"/>
      <c r="LM17" s="22"/>
      <c r="LN17" s="22"/>
      <c r="LO17" s="22"/>
      <c r="LP17" s="22"/>
      <c r="LQ17" s="22"/>
      <c r="LR17" s="22"/>
      <c r="LS17" s="22"/>
      <c r="LT17" s="22"/>
      <c r="LU17" s="22"/>
      <c r="LV17" s="22"/>
      <c r="LW17" s="22"/>
      <c r="LX17" s="22"/>
      <c r="LY17" s="22"/>
      <c r="LZ17" s="22"/>
      <c r="MA17" s="22"/>
      <c r="MB17" s="22"/>
      <c r="MC17" s="22"/>
      <c r="MD17" s="22"/>
      <c r="ME17" s="22"/>
      <c r="MF17" s="22"/>
      <c r="MG17" s="22"/>
      <c r="MH17" s="22"/>
      <c r="MI17" s="22"/>
      <c r="MJ17" s="22"/>
      <c r="MK17" s="22"/>
      <c r="ML17" s="22"/>
      <c r="MM17" s="22"/>
      <c r="MN17" s="22"/>
      <c r="MO17" s="22"/>
      <c r="MP17" s="22"/>
      <c r="MQ17" s="22"/>
      <c r="MR17" s="22"/>
      <c r="MS17" s="22"/>
      <c r="MT17" s="22"/>
      <c r="MU17" s="22"/>
      <c r="MV17" s="22"/>
      <c r="MW17" s="22"/>
      <c r="MX17" s="22"/>
      <c r="MY17" s="22"/>
      <c r="MZ17" s="22"/>
      <c r="NA17" s="22"/>
      <c r="NB17" s="22"/>
      <c r="NC17" s="22"/>
      <c r="ND17" s="22"/>
      <c r="NE17" s="22"/>
      <c r="NF17" s="22"/>
      <c r="NG17" s="22"/>
      <c r="NH17" s="22"/>
      <c r="NI17" s="22"/>
      <c r="NJ17" s="22"/>
      <c r="NK17" s="22"/>
      <c r="NL17" s="22"/>
      <c r="NM17" s="22"/>
      <c r="NN17" s="22"/>
      <c r="NO17" s="22"/>
      <c r="NP17" s="22"/>
      <c r="NQ17" s="22"/>
      <c r="NR17" s="22"/>
      <c r="NS17" s="22"/>
      <c r="NT17" s="22"/>
      <c r="NU17" s="22"/>
      <c r="NV17" s="22"/>
      <c r="NW17" s="22"/>
      <c r="NX17" s="22"/>
      <c r="NY17" s="22"/>
      <c r="NZ17" s="22"/>
      <c r="OA17" s="22"/>
      <c r="OB17" s="22"/>
      <c r="OC17" s="22"/>
      <c r="OD17" s="22"/>
      <c r="OE17" s="22"/>
      <c r="OF17" s="22"/>
      <c r="OG17" s="22"/>
      <c r="OH17" s="22"/>
      <c r="OI17" s="22"/>
      <c r="OJ17" s="22"/>
      <c r="OK17" s="22"/>
      <c r="OL17" s="22"/>
      <c r="OM17" s="22"/>
      <c r="ON17" s="22"/>
      <c r="OO17" s="22"/>
      <c r="OP17" s="22"/>
      <c r="OQ17" s="22"/>
      <c r="OR17" s="22"/>
      <c r="OS17" s="22"/>
      <c r="OT17" s="22"/>
      <c r="OU17" s="22"/>
      <c r="OV17" s="22"/>
      <c r="OW17" s="22"/>
      <c r="OX17" s="22"/>
      <c r="OY17" s="22"/>
      <c r="OZ17" s="22"/>
      <c r="PA17" s="22"/>
      <c r="PB17" s="22"/>
      <c r="PC17" s="22"/>
      <c r="PD17" s="22"/>
      <c r="PE17" s="22"/>
      <c r="PF17" s="22"/>
      <c r="PG17" s="22"/>
      <c r="PH17" s="22"/>
      <c r="PI17" s="22"/>
      <c r="PJ17" s="22"/>
      <c r="PK17" s="22"/>
      <c r="PL17" s="22"/>
      <c r="PM17" s="22"/>
      <c r="PN17" s="22"/>
      <c r="PO17" s="22"/>
      <c r="PP17" s="22"/>
      <c r="PQ17" s="22"/>
      <c r="PR17" s="22"/>
      <c r="PS17" s="22"/>
      <c r="PT17" s="22"/>
      <c r="PU17" s="22"/>
      <c r="PV17" s="22"/>
      <c r="PW17" s="22"/>
      <c r="PX17" s="22"/>
      <c r="PY17" s="22"/>
      <c r="PZ17" s="22"/>
      <c r="QA17" s="22"/>
      <c r="QB17" s="22"/>
      <c r="QC17" s="22"/>
      <c r="QD17" s="22"/>
      <c r="QE17" s="22"/>
      <c r="QF17" s="22"/>
      <c r="QG17" s="22"/>
      <c r="QH17" s="22"/>
      <c r="QI17" s="22"/>
      <c r="QJ17" s="22"/>
      <c r="QK17" s="22"/>
      <c r="QL17" s="22"/>
      <c r="QM17" s="22"/>
      <c r="QN17" s="22"/>
      <c r="QO17" s="22"/>
      <c r="QP17" s="22"/>
      <c r="QQ17" s="22"/>
      <c r="QR17" s="22"/>
      <c r="QS17" s="22"/>
      <c r="QT17" s="22"/>
      <c r="QU17" s="22"/>
      <c r="QV17" s="22"/>
      <c r="QW17" s="22"/>
      <c r="QX17" s="22"/>
      <c r="QY17" s="22"/>
      <c r="QZ17" s="22"/>
      <c r="RA17" s="22"/>
      <c r="RB17" s="22"/>
      <c r="RC17" s="22"/>
      <c r="RD17" s="22"/>
      <c r="RE17" s="22"/>
      <c r="RF17" s="22"/>
      <c r="RG17" s="22"/>
      <c r="RH17" s="22"/>
      <c r="RI17" s="22"/>
      <c r="RJ17" s="22"/>
      <c r="RK17" s="22"/>
      <c r="RL17" s="22"/>
      <c r="RM17" s="22"/>
      <c r="RN17" s="22"/>
      <c r="RO17" s="22"/>
      <c r="RP17" s="22"/>
      <c r="RQ17" s="22"/>
      <c r="RR17" s="22"/>
      <c r="RS17" s="22"/>
      <c r="RT17" s="22"/>
      <c r="RU17" s="22"/>
      <c r="RV17" s="22"/>
      <c r="RW17" s="22"/>
      <c r="RX17" s="22"/>
      <c r="RY17" s="22"/>
      <c r="RZ17" s="22"/>
      <c r="SA17" s="22"/>
      <c r="SB17" s="22"/>
      <c r="SC17" s="22"/>
      <c r="SD17" s="22"/>
      <c r="SE17" s="22"/>
      <c r="SF17" s="22"/>
      <c r="SG17" s="22"/>
      <c r="SH17" s="22"/>
      <c r="SI17" s="22"/>
      <c r="SJ17" s="22"/>
      <c r="SK17" s="22"/>
      <c r="SL17" s="22"/>
      <c r="SM17" s="22"/>
      <c r="SN17" s="22"/>
      <c r="SO17" s="22"/>
      <c r="SP17" s="22"/>
      <c r="SQ17" s="22"/>
      <c r="SR17" s="22"/>
      <c r="SS17" s="22"/>
      <c r="ST17" s="22"/>
      <c r="SU17" s="22"/>
      <c r="SV17" s="22"/>
      <c r="SW17" s="22"/>
      <c r="SX17" s="22"/>
      <c r="SY17" s="22"/>
      <c r="SZ17" s="22"/>
      <c r="TA17" s="22"/>
      <c r="TB17" s="22"/>
      <c r="TC17" s="22"/>
      <c r="TD17" s="22"/>
      <c r="TE17" s="22"/>
      <c r="TF17" s="22"/>
      <c r="TG17" s="22"/>
      <c r="TH17" s="22"/>
      <c r="TI17" s="22"/>
      <c r="TJ17" s="22"/>
      <c r="TK17" s="22"/>
      <c r="TL17" s="22"/>
      <c r="TM17" s="22"/>
      <c r="TN17" s="22"/>
      <c r="TO17" s="22"/>
      <c r="TP17" s="22"/>
      <c r="TQ17" s="22"/>
      <c r="TR17" s="22"/>
      <c r="TS17" s="22"/>
      <c r="TT17" s="22"/>
      <c r="TU17" s="22"/>
      <c r="TV17" s="22"/>
      <c r="TW17" s="22"/>
      <c r="TX17" s="22"/>
      <c r="TY17" s="22"/>
      <c r="TZ17" s="22"/>
      <c r="UA17" s="22"/>
      <c r="UB17" s="22"/>
      <c r="UC17" s="22"/>
      <c r="UD17" s="22"/>
      <c r="UE17" s="22"/>
      <c r="UF17" s="22"/>
      <c r="UG17" s="22"/>
      <c r="UH17" s="22"/>
      <c r="UI17" s="22"/>
      <c r="UJ17" s="22"/>
      <c r="UK17" s="22"/>
      <c r="UL17" s="22"/>
      <c r="UM17" s="22"/>
      <c r="UN17" s="22"/>
      <c r="UO17" s="22"/>
      <c r="UP17" s="22"/>
      <c r="UQ17" s="22"/>
      <c r="UR17" s="22"/>
      <c r="US17" s="22"/>
      <c r="UT17" s="22"/>
      <c r="UU17" s="22"/>
      <c r="UV17" s="22"/>
      <c r="UW17" s="22"/>
      <c r="UX17" s="22"/>
      <c r="UY17" s="22"/>
      <c r="UZ17" s="22"/>
      <c r="VA17" s="22"/>
      <c r="VB17" s="22"/>
      <c r="VC17" s="22"/>
      <c r="VD17" s="22"/>
      <c r="VE17" s="22"/>
      <c r="VF17" s="22"/>
      <c r="VG17" s="22"/>
      <c r="VH17" s="22"/>
      <c r="VI17" s="22"/>
      <c r="VJ17" s="22"/>
      <c r="VK17" s="22"/>
      <c r="VL17" s="22"/>
      <c r="VM17" s="22"/>
      <c r="VN17" s="22"/>
      <c r="VO17" s="22"/>
      <c r="VP17" s="22"/>
      <c r="VQ17" s="22"/>
      <c r="VR17" s="22"/>
      <c r="VS17" s="22"/>
      <c r="VT17" s="22"/>
      <c r="VU17" s="22"/>
      <c r="VV17" s="22"/>
      <c r="VW17" s="22"/>
      <c r="VX17" s="22"/>
      <c r="VY17" s="22"/>
      <c r="VZ17" s="22"/>
      <c r="WA17" s="22"/>
      <c r="WB17" s="22"/>
      <c r="WC17" s="22"/>
      <c r="WD17" s="22"/>
      <c r="WE17" s="22"/>
      <c r="WF17" s="22"/>
      <c r="WG17" s="22"/>
      <c r="WH17" s="22"/>
      <c r="WI17" s="22"/>
      <c r="WJ17" s="22"/>
      <c r="WK17" s="22"/>
      <c r="WL17" s="22"/>
      <c r="WM17" s="22"/>
      <c r="WN17" s="22"/>
      <c r="WO17" s="22"/>
      <c r="WP17" s="22"/>
      <c r="WQ17" s="22"/>
      <c r="WR17" s="22"/>
      <c r="WS17" s="22"/>
      <c r="WT17" s="22"/>
      <c r="WU17" s="22"/>
      <c r="WV17" s="22"/>
      <c r="WW17" s="22"/>
      <c r="WX17" s="22"/>
      <c r="WY17" s="22"/>
      <c r="WZ17" s="22"/>
      <c r="XA17" s="22"/>
      <c r="XB17" s="22"/>
      <c r="XC17" s="22"/>
      <c r="XD17" s="22"/>
      <c r="XE17" s="22"/>
      <c r="XF17" s="22"/>
      <c r="XG17" s="22"/>
      <c r="XH17" s="22"/>
      <c r="XI17" s="22"/>
      <c r="XJ17" s="22"/>
      <c r="XK17" s="22"/>
      <c r="XL17" s="22"/>
      <c r="XM17" s="22"/>
      <c r="XN17" s="22"/>
      <c r="XO17" s="22"/>
      <c r="XP17" s="22"/>
      <c r="XQ17" s="22"/>
      <c r="XR17" s="22"/>
      <c r="XS17" s="22"/>
      <c r="XT17" s="22"/>
      <c r="XU17" s="22"/>
      <c r="XV17" s="22"/>
      <c r="XW17" s="22"/>
      <c r="XX17" s="22"/>
      <c r="XY17" s="22"/>
      <c r="XZ17" s="22"/>
      <c r="YA17" s="22"/>
      <c r="YB17" s="22"/>
      <c r="YC17" s="22"/>
      <c r="YD17" s="22"/>
      <c r="YE17" s="22"/>
      <c r="YF17" s="22"/>
      <c r="YG17" s="22"/>
      <c r="YH17" s="22"/>
      <c r="YI17" s="22"/>
      <c r="YJ17" s="22"/>
      <c r="YK17" s="22"/>
      <c r="YL17" s="22"/>
      <c r="YM17" s="22"/>
      <c r="YN17" s="22"/>
      <c r="YO17" s="22"/>
      <c r="YP17" s="22"/>
      <c r="YQ17" s="22"/>
      <c r="YR17" s="22"/>
      <c r="YS17" s="22"/>
      <c r="YT17" s="22"/>
      <c r="YU17" s="22"/>
      <c r="YV17" s="22"/>
      <c r="YW17" s="22"/>
      <c r="YX17" s="22"/>
      <c r="YY17" s="22"/>
      <c r="YZ17" s="22"/>
      <c r="ZA17" s="22"/>
      <c r="ZB17" s="22"/>
      <c r="ZC17" s="22"/>
      <c r="ZD17" s="22"/>
      <c r="ZE17" s="22"/>
      <c r="ZF17" s="22"/>
      <c r="ZG17" s="22"/>
      <c r="ZH17" s="22"/>
      <c r="ZI17" s="22"/>
      <c r="ZJ17" s="22"/>
      <c r="ZK17" s="22"/>
      <c r="ZL17" s="22"/>
      <c r="ZM17" s="22"/>
      <c r="ZN17" s="22"/>
      <c r="ZO17" s="22"/>
      <c r="ZP17" s="22"/>
      <c r="ZQ17" s="22"/>
      <c r="ZR17" s="22"/>
      <c r="ZS17" s="22"/>
      <c r="ZT17" s="22"/>
      <c r="ZU17" s="22"/>
      <c r="ZV17" s="22"/>
      <c r="ZW17" s="22"/>
      <c r="ZX17" s="22"/>
      <c r="ZY17" s="22"/>
      <c r="ZZ17" s="22"/>
      <c r="AAA17" s="22"/>
      <c r="AAB17" s="22"/>
      <c r="AAC17" s="22"/>
      <c r="AAD17" s="22"/>
      <c r="AAE17" s="22"/>
      <c r="AAF17" s="22"/>
      <c r="AAG17" s="22"/>
      <c r="AAH17" s="22"/>
      <c r="AAI17" s="22"/>
      <c r="AAJ17" s="22"/>
      <c r="AAK17" s="22"/>
      <c r="AAL17" s="22"/>
      <c r="AAM17" s="22"/>
      <c r="AAN17" s="22"/>
      <c r="AAO17" s="22"/>
      <c r="AAP17" s="22"/>
      <c r="AAQ17" s="22"/>
      <c r="AAR17" s="22"/>
      <c r="AAS17" s="22"/>
      <c r="AAT17" s="22"/>
      <c r="AAU17" s="22"/>
      <c r="AAV17" s="22"/>
      <c r="AAW17" s="22"/>
      <c r="AAX17" s="22"/>
      <c r="AAY17" s="22"/>
      <c r="AAZ17" s="22"/>
      <c r="ABA17" s="22"/>
      <c r="ABB17" s="22"/>
      <c r="ABC17" s="22"/>
    </row>
    <row r="18" spans="1:731" s="290" customFormat="1" ht="15" customHeight="1" thickBot="1" x14ac:dyDescent="0.35">
      <c r="A18" s="36"/>
      <c r="B18" s="435"/>
      <c r="C18" s="298"/>
      <c r="D18" s="197"/>
      <c r="E18" s="37" t="s">
        <v>25</v>
      </c>
      <c r="F18" s="38">
        <f>SUM(F10:F17)</f>
        <v>294.64336096446391</v>
      </c>
      <c r="G18" s="39">
        <f>SUM(G10:G17)</f>
        <v>295.78689652942273</v>
      </c>
      <c r="H18" s="40">
        <f t="shared" si="15"/>
        <v>-1.1435355649588246</v>
      </c>
      <c r="I18" s="169">
        <f t="shared" si="1"/>
        <v>-3.8660791886873662E-3</v>
      </c>
      <c r="J18" s="39">
        <f>SUM(J10:J17)</f>
        <v>87960.234570000001</v>
      </c>
      <c r="K18" s="39">
        <f>SUM(K10:K17)</f>
        <v>88301.615608431224</v>
      </c>
      <c r="L18" s="40">
        <f t="shared" si="16"/>
        <v>-341.38103843122371</v>
      </c>
      <c r="M18" s="169">
        <f t="shared" si="21"/>
        <v>-3.8660791886873237E-3</v>
      </c>
      <c r="N18" s="39">
        <f>SUM(N10:N17)</f>
        <v>59104.626736000006</v>
      </c>
      <c r="O18" s="39">
        <f>SUM(O10:O17)</f>
        <v>55265.196388055978</v>
      </c>
      <c r="P18" s="40">
        <f t="shared" si="17"/>
        <v>3839.4303479440277</v>
      </c>
      <c r="Q18" s="169">
        <f t="shared" si="2"/>
        <v>6.9472843649820329E-2</v>
      </c>
      <c r="R18" s="39">
        <f>SUM(R10:R17)</f>
        <v>201.41009000000003</v>
      </c>
      <c r="S18" s="39">
        <f>SUM(S10:S17)</f>
        <v>106.07858264269407</v>
      </c>
      <c r="T18" s="40">
        <f t="shared" si="18"/>
        <v>95.331507357305952</v>
      </c>
      <c r="U18" s="169">
        <f t="shared" si="3"/>
        <v>0.89868760481474719</v>
      </c>
      <c r="V18" s="39">
        <f>SUM(V10:V17)</f>
        <v>36178.538970000001</v>
      </c>
      <c r="W18" s="39">
        <f>SUM(W10:W17)</f>
        <v>35153.548260953394</v>
      </c>
      <c r="X18" s="40">
        <f t="shared" si="19"/>
        <v>1024.9907090466077</v>
      </c>
      <c r="Y18" s="169">
        <f t="shared" si="4"/>
        <v>2.9157532020319846E-2</v>
      </c>
      <c r="Z18" s="39">
        <f>SUM(Z10:Z17)</f>
        <v>23127.497675999992</v>
      </c>
      <c r="AA18" s="39">
        <f>SUM(AA10:AA17)</f>
        <v>20217.726709745257</v>
      </c>
      <c r="AB18" s="40">
        <f t="shared" si="20"/>
        <v>2909.770966254735</v>
      </c>
      <c r="AC18" s="170">
        <f t="shared" si="5"/>
        <v>0.14392176766600473</v>
      </c>
      <c r="AD18" s="185">
        <f>SUM(AD10:AD17)</f>
        <v>5966.9305199999999</v>
      </c>
      <c r="AE18" s="281">
        <f>SUM(AE10:AE17)</f>
        <v>0</v>
      </c>
      <c r="AF18" s="40">
        <f t="shared" si="6"/>
        <v>5966.9305199999999</v>
      </c>
      <c r="AG18" s="327" t="str">
        <f t="shared" si="7"/>
        <v/>
      </c>
      <c r="AH18" s="328">
        <f>SUM(AH10:AH17)</f>
        <v>0</v>
      </c>
      <c r="AI18" s="328">
        <f>SUM(AI10:AI17)</f>
        <v>0</v>
      </c>
      <c r="AJ18" s="329">
        <f t="shared" si="8"/>
        <v>0</v>
      </c>
      <c r="AK18" s="327" t="str">
        <f>IFERROR(IF(AI18&lt;0,-(AH18-AI18)/AI18,(AH18-AI18)/AI18),"")</f>
        <v/>
      </c>
      <c r="AL18" s="174">
        <f>SUM(AL10:AL17)</f>
        <v>17160.56715599999</v>
      </c>
      <c r="AM18" s="174">
        <f>SUM(AM10:AM17)</f>
        <v>20217.726709745257</v>
      </c>
      <c r="AN18" s="40">
        <f t="shared" si="9"/>
        <v>-3057.1595537452667</v>
      </c>
      <c r="AO18" s="193">
        <f t="shared" si="10"/>
        <v>-0.15121183492265075</v>
      </c>
      <c r="AP18" s="317"/>
      <c r="AQ18" s="177"/>
      <c r="AR18" s="289">
        <f t="shared" si="11"/>
        <v>1.8000001000473276E-4</v>
      </c>
      <c r="AS18" s="289">
        <f t="shared" si="12"/>
        <v>0</v>
      </c>
      <c r="AT18" s="289">
        <f t="shared" si="13"/>
        <v>0</v>
      </c>
      <c r="AU18" s="289">
        <f t="shared" si="14"/>
        <v>0</v>
      </c>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c r="CY18" s="177"/>
      <c r="CZ18" s="177"/>
      <c r="DA18" s="177"/>
      <c r="DB18" s="177"/>
      <c r="DC18" s="177"/>
      <c r="DD18" s="177"/>
      <c r="DE18" s="177"/>
      <c r="DF18" s="177"/>
      <c r="DG18" s="177"/>
      <c r="DH18" s="177"/>
      <c r="DI18" s="177"/>
      <c r="DJ18" s="177"/>
      <c r="DK18" s="177"/>
      <c r="DL18" s="177"/>
      <c r="DM18" s="177"/>
      <c r="DN18" s="177"/>
      <c r="DO18" s="177"/>
      <c r="DP18" s="177"/>
      <c r="DQ18" s="177"/>
      <c r="DR18" s="177"/>
      <c r="DS18" s="177"/>
      <c r="DT18" s="177"/>
      <c r="DU18" s="177"/>
      <c r="DV18" s="177"/>
      <c r="DW18" s="177"/>
      <c r="DX18" s="177"/>
      <c r="DY18" s="177"/>
      <c r="DZ18" s="177"/>
      <c r="EA18" s="177"/>
      <c r="EB18" s="177"/>
      <c r="EC18" s="177"/>
      <c r="ED18" s="177"/>
      <c r="EE18" s="177"/>
      <c r="EF18" s="177"/>
      <c r="EG18" s="177"/>
      <c r="EH18" s="177"/>
      <c r="EI18" s="177"/>
      <c r="EJ18" s="177"/>
      <c r="EK18" s="177"/>
      <c r="EL18" s="177"/>
      <c r="EM18" s="177"/>
      <c r="EN18" s="177"/>
      <c r="EO18" s="177"/>
      <c r="EP18" s="177"/>
      <c r="EQ18" s="177"/>
      <c r="ER18" s="177"/>
      <c r="ES18" s="177"/>
      <c r="ET18" s="177"/>
      <c r="EU18" s="177"/>
      <c r="EV18" s="177"/>
      <c r="EW18" s="177"/>
      <c r="EX18" s="177"/>
      <c r="EY18" s="177"/>
      <c r="EZ18" s="177"/>
      <c r="FA18" s="177"/>
      <c r="FB18" s="177"/>
      <c r="FC18" s="177"/>
      <c r="FD18" s="177"/>
      <c r="FE18" s="177"/>
      <c r="FF18" s="177"/>
      <c r="FG18" s="177"/>
      <c r="FH18" s="177"/>
      <c r="FI18" s="177"/>
      <c r="FJ18" s="177"/>
      <c r="FK18" s="177"/>
      <c r="FL18" s="177"/>
      <c r="FM18" s="177"/>
      <c r="FN18" s="177"/>
      <c r="FO18" s="177"/>
      <c r="FP18" s="177"/>
      <c r="FQ18" s="177"/>
      <c r="FR18" s="177"/>
      <c r="FS18" s="177"/>
      <c r="FT18" s="177"/>
      <c r="FU18" s="177"/>
      <c r="FV18" s="177"/>
      <c r="FW18" s="177"/>
      <c r="FX18" s="177"/>
      <c r="FY18" s="177"/>
      <c r="FZ18" s="177"/>
      <c r="GA18" s="177"/>
      <c r="GB18" s="177"/>
      <c r="GC18" s="177"/>
      <c r="GD18" s="177"/>
      <c r="GE18" s="177"/>
      <c r="GF18" s="177"/>
      <c r="GG18" s="177"/>
      <c r="GH18" s="177"/>
      <c r="GI18" s="177"/>
      <c r="GJ18" s="177"/>
      <c r="GK18" s="177"/>
      <c r="GL18" s="177"/>
      <c r="GM18" s="177"/>
      <c r="GN18" s="177"/>
      <c r="GO18" s="177"/>
      <c r="GP18" s="177"/>
      <c r="GQ18" s="177"/>
      <c r="GR18" s="177"/>
      <c r="GS18" s="177"/>
      <c r="GT18" s="177"/>
      <c r="GU18" s="177"/>
      <c r="GV18" s="177"/>
      <c r="GW18" s="177"/>
      <c r="GX18" s="177"/>
      <c r="GY18" s="177"/>
      <c r="GZ18" s="177"/>
      <c r="HA18" s="177"/>
      <c r="HB18" s="177"/>
      <c r="HC18" s="177"/>
      <c r="HD18" s="177"/>
      <c r="HE18" s="177"/>
      <c r="HF18" s="177"/>
      <c r="HG18" s="177"/>
      <c r="HH18" s="177"/>
      <c r="HI18" s="177"/>
      <c r="HJ18" s="177"/>
      <c r="HK18" s="177"/>
      <c r="HL18" s="177"/>
      <c r="HM18" s="177"/>
      <c r="HN18" s="177"/>
      <c r="HO18" s="177"/>
      <c r="HP18" s="177"/>
      <c r="HQ18" s="177"/>
      <c r="HR18" s="177"/>
      <c r="HS18" s="177"/>
      <c r="HT18" s="177"/>
      <c r="HU18" s="177"/>
      <c r="HV18" s="177"/>
      <c r="HW18" s="177"/>
      <c r="HX18" s="177"/>
      <c r="HY18" s="177"/>
      <c r="HZ18" s="177"/>
      <c r="IA18" s="177"/>
      <c r="IB18" s="177"/>
      <c r="IC18" s="177"/>
      <c r="ID18" s="177"/>
      <c r="IE18" s="177"/>
      <c r="IF18" s="177"/>
      <c r="IG18" s="177"/>
      <c r="IH18" s="177"/>
      <c r="II18" s="177"/>
      <c r="IJ18" s="177"/>
      <c r="IK18" s="177"/>
      <c r="IL18" s="177"/>
      <c r="IM18" s="177"/>
      <c r="IN18" s="177"/>
      <c r="IO18" s="177"/>
      <c r="IP18" s="177"/>
      <c r="IQ18" s="177"/>
      <c r="IR18" s="177"/>
      <c r="IS18" s="177"/>
      <c r="IT18" s="177"/>
      <c r="IU18" s="177"/>
      <c r="IV18" s="177"/>
      <c r="IW18" s="177"/>
      <c r="IX18" s="177"/>
      <c r="IY18" s="177"/>
      <c r="IZ18" s="177"/>
      <c r="JA18" s="177"/>
      <c r="JB18" s="177"/>
      <c r="JC18" s="177"/>
      <c r="JD18" s="177"/>
      <c r="JE18" s="177"/>
      <c r="JF18" s="177"/>
      <c r="JG18" s="177"/>
      <c r="JH18" s="177"/>
      <c r="JI18" s="177"/>
      <c r="JJ18" s="177"/>
      <c r="JK18" s="177"/>
      <c r="JL18" s="177"/>
      <c r="JM18" s="177"/>
      <c r="JN18" s="177"/>
      <c r="JO18" s="177"/>
      <c r="JP18" s="177"/>
      <c r="JQ18" s="177"/>
      <c r="JR18" s="177"/>
      <c r="JS18" s="177"/>
      <c r="JT18" s="177"/>
      <c r="JU18" s="177"/>
      <c r="JV18" s="177"/>
      <c r="JW18" s="177"/>
      <c r="JX18" s="177"/>
      <c r="JY18" s="177"/>
      <c r="JZ18" s="177"/>
      <c r="KA18" s="177"/>
      <c r="KB18" s="177"/>
      <c r="KC18" s="177"/>
      <c r="KD18" s="177"/>
      <c r="KE18" s="177"/>
      <c r="KF18" s="177"/>
      <c r="KG18" s="177"/>
      <c r="KH18" s="177"/>
      <c r="KI18" s="177"/>
      <c r="KJ18" s="177"/>
      <c r="KK18" s="177"/>
      <c r="KL18" s="177"/>
      <c r="KM18" s="177"/>
      <c r="KN18" s="177"/>
      <c r="KO18" s="177"/>
      <c r="KP18" s="177"/>
      <c r="KQ18" s="177"/>
      <c r="KR18" s="177"/>
      <c r="KS18" s="177"/>
      <c r="KT18" s="177"/>
      <c r="KU18" s="177"/>
      <c r="KV18" s="177"/>
      <c r="KW18" s="177"/>
      <c r="KX18" s="177"/>
      <c r="KY18" s="177"/>
      <c r="KZ18" s="177"/>
      <c r="LA18" s="177"/>
      <c r="LB18" s="177"/>
      <c r="LC18" s="177"/>
      <c r="LD18" s="177"/>
      <c r="LE18" s="177"/>
      <c r="LF18" s="177"/>
      <c r="LG18" s="177"/>
      <c r="LH18" s="177"/>
      <c r="LI18" s="177"/>
      <c r="LJ18" s="177"/>
      <c r="LK18" s="177"/>
      <c r="LL18" s="177"/>
      <c r="LM18" s="177"/>
      <c r="LN18" s="177"/>
      <c r="LO18" s="177"/>
      <c r="LP18" s="177"/>
      <c r="LQ18" s="177"/>
      <c r="LR18" s="177"/>
      <c r="LS18" s="177"/>
      <c r="LT18" s="177"/>
      <c r="LU18" s="177"/>
      <c r="LV18" s="177"/>
      <c r="LW18" s="177"/>
      <c r="LX18" s="177"/>
      <c r="LY18" s="177"/>
      <c r="LZ18" s="177"/>
      <c r="MA18" s="177"/>
      <c r="MB18" s="177"/>
      <c r="MC18" s="177"/>
      <c r="MD18" s="177"/>
      <c r="ME18" s="177"/>
      <c r="MF18" s="177"/>
      <c r="MG18" s="177"/>
      <c r="MH18" s="177"/>
      <c r="MI18" s="177"/>
      <c r="MJ18" s="177"/>
      <c r="MK18" s="177"/>
      <c r="ML18" s="177"/>
      <c r="MM18" s="177"/>
      <c r="MN18" s="177"/>
      <c r="MO18" s="177"/>
      <c r="MP18" s="177"/>
      <c r="MQ18" s="177"/>
      <c r="MR18" s="177"/>
      <c r="MS18" s="177"/>
      <c r="MT18" s="177"/>
      <c r="MU18" s="177"/>
      <c r="MV18" s="177"/>
      <c r="MW18" s="177"/>
      <c r="MX18" s="177"/>
      <c r="MY18" s="177"/>
      <c r="MZ18" s="177"/>
      <c r="NA18" s="177"/>
      <c r="NB18" s="177"/>
      <c r="NC18" s="177"/>
      <c r="ND18" s="177"/>
      <c r="NE18" s="177"/>
      <c r="NF18" s="177"/>
      <c r="NG18" s="177"/>
      <c r="NH18" s="177"/>
      <c r="NI18" s="177"/>
      <c r="NJ18" s="177"/>
      <c r="NK18" s="177"/>
      <c r="NL18" s="177"/>
      <c r="NM18" s="177"/>
      <c r="NN18" s="177"/>
      <c r="NO18" s="177"/>
      <c r="NP18" s="177"/>
      <c r="NQ18" s="177"/>
      <c r="NR18" s="177"/>
      <c r="NS18" s="177"/>
      <c r="NT18" s="177"/>
      <c r="NU18" s="177"/>
      <c r="NV18" s="177"/>
      <c r="NW18" s="177"/>
      <c r="NX18" s="177"/>
      <c r="NY18" s="177"/>
      <c r="NZ18" s="177"/>
      <c r="OA18" s="177"/>
      <c r="OB18" s="177"/>
      <c r="OC18" s="177"/>
      <c r="OD18" s="177"/>
      <c r="OE18" s="177"/>
      <c r="OF18" s="177"/>
      <c r="OG18" s="177"/>
      <c r="OH18" s="177"/>
      <c r="OI18" s="177"/>
      <c r="OJ18" s="177"/>
      <c r="OK18" s="177"/>
      <c r="OL18" s="177"/>
      <c r="OM18" s="177"/>
      <c r="ON18" s="177"/>
      <c r="OO18" s="177"/>
      <c r="OP18" s="177"/>
      <c r="OQ18" s="177"/>
      <c r="OR18" s="177"/>
      <c r="OS18" s="177"/>
      <c r="OT18" s="177"/>
      <c r="OU18" s="177"/>
      <c r="OV18" s="177"/>
      <c r="OW18" s="177"/>
      <c r="OX18" s="177"/>
      <c r="OY18" s="177"/>
      <c r="OZ18" s="177"/>
      <c r="PA18" s="177"/>
      <c r="PB18" s="177"/>
      <c r="PC18" s="177"/>
      <c r="PD18" s="177"/>
      <c r="PE18" s="177"/>
      <c r="PF18" s="177"/>
      <c r="PG18" s="177"/>
      <c r="PH18" s="177"/>
      <c r="PI18" s="177"/>
      <c r="PJ18" s="177"/>
      <c r="PK18" s="177"/>
      <c r="PL18" s="177"/>
      <c r="PM18" s="177"/>
      <c r="PN18" s="177"/>
      <c r="PO18" s="177"/>
      <c r="PP18" s="177"/>
      <c r="PQ18" s="177"/>
      <c r="PR18" s="177"/>
      <c r="PS18" s="177"/>
      <c r="PT18" s="177"/>
      <c r="PU18" s="177"/>
      <c r="PV18" s="177"/>
      <c r="PW18" s="177"/>
      <c r="PX18" s="177"/>
      <c r="PY18" s="177"/>
      <c r="PZ18" s="177"/>
      <c r="QA18" s="177"/>
      <c r="QB18" s="177"/>
      <c r="QC18" s="177"/>
      <c r="QD18" s="177"/>
      <c r="QE18" s="177"/>
      <c r="QF18" s="177"/>
      <c r="QG18" s="177"/>
      <c r="QH18" s="177"/>
      <c r="QI18" s="177"/>
      <c r="QJ18" s="177"/>
      <c r="QK18" s="177"/>
      <c r="QL18" s="177"/>
      <c r="QM18" s="177"/>
      <c r="QN18" s="177"/>
      <c r="QO18" s="177"/>
      <c r="QP18" s="177"/>
      <c r="QQ18" s="177"/>
      <c r="QR18" s="177"/>
      <c r="QS18" s="177"/>
      <c r="QT18" s="177"/>
      <c r="QU18" s="177"/>
      <c r="QV18" s="177"/>
      <c r="QW18" s="177"/>
      <c r="QX18" s="177"/>
      <c r="QY18" s="177"/>
      <c r="QZ18" s="177"/>
      <c r="RA18" s="177"/>
      <c r="RB18" s="177"/>
      <c r="RC18" s="177"/>
      <c r="RD18" s="177"/>
      <c r="RE18" s="177"/>
      <c r="RF18" s="177"/>
      <c r="RG18" s="177"/>
      <c r="RH18" s="177"/>
      <c r="RI18" s="177"/>
      <c r="RJ18" s="177"/>
      <c r="RK18" s="177"/>
      <c r="RL18" s="177"/>
      <c r="RM18" s="177"/>
      <c r="RN18" s="177"/>
      <c r="RO18" s="177"/>
      <c r="RP18" s="177"/>
      <c r="RQ18" s="177"/>
      <c r="RR18" s="177"/>
      <c r="RS18" s="177"/>
      <c r="RT18" s="177"/>
      <c r="RU18" s="177"/>
      <c r="RV18" s="177"/>
      <c r="RW18" s="177"/>
      <c r="RX18" s="177"/>
      <c r="RY18" s="177"/>
      <c r="RZ18" s="177"/>
      <c r="SA18" s="177"/>
      <c r="SB18" s="177"/>
      <c r="SC18" s="177"/>
      <c r="SD18" s="177"/>
      <c r="SE18" s="177"/>
      <c r="SF18" s="177"/>
      <c r="SG18" s="177"/>
      <c r="SH18" s="177"/>
      <c r="SI18" s="177"/>
      <c r="SJ18" s="177"/>
      <c r="SK18" s="177"/>
      <c r="SL18" s="177"/>
      <c r="SM18" s="177"/>
      <c r="SN18" s="177"/>
      <c r="SO18" s="177"/>
      <c r="SP18" s="177"/>
      <c r="SQ18" s="177"/>
      <c r="SR18" s="177"/>
      <c r="SS18" s="177"/>
      <c r="ST18" s="177"/>
      <c r="SU18" s="177"/>
      <c r="SV18" s="177"/>
      <c r="SW18" s="177"/>
      <c r="SX18" s="177"/>
      <c r="SY18" s="177"/>
      <c r="SZ18" s="177"/>
      <c r="TA18" s="177"/>
      <c r="TB18" s="177"/>
      <c r="TC18" s="177"/>
      <c r="TD18" s="177"/>
      <c r="TE18" s="177"/>
      <c r="TF18" s="177"/>
      <c r="TG18" s="177"/>
      <c r="TH18" s="177"/>
      <c r="TI18" s="177"/>
      <c r="TJ18" s="177"/>
      <c r="TK18" s="177"/>
      <c r="TL18" s="177"/>
      <c r="TM18" s="177"/>
      <c r="TN18" s="177"/>
      <c r="TO18" s="177"/>
      <c r="TP18" s="177"/>
      <c r="TQ18" s="177"/>
      <c r="TR18" s="177"/>
      <c r="TS18" s="177"/>
      <c r="TT18" s="177"/>
      <c r="TU18" s="177"/>
      <c r="TV18" s="177"/>
      <c r="TW18" s="177"/>
      <c r="TX18" s="177"/>
      <c r="TY18" s="177"/>
      <c r="TZ18" s="177"/>
      <c r="UA18" s="177"/>
      <c r="UB18" s="177"/>
      <c r="UC18" s="177"/>
      <c r="UD18" s="177"/>
      <c r="UE18" s="177"/>
      <c r="UF18" s="177"/>
      <c r="UG18" s="177"/>
      <c r="UH18" s="177"/>
      <c r="UI18" s="177"/>
      <c r="UJ18" s="177"/>
      <c r="UK18" s="177"/>
      <c r="UL18" s="177"/>
      <c r="UM18" s="177"/>
      <c r="UN18" s="177"/>
      <c r="UO18" s="177"/>
      <c r="UP18" s="177"/>
      <c r="UQ18" s="177"/>
      <c r="UR18" s="177"/>
      <c r="US18" s="177"/>
      <c r="UT18" s="177"/>
      <c r="UU18" s="177"/>
      <c r="UV18" s="177"/>
      <c r="UW18" s="177"/>
      <c r="UX18" s="177"/>
      <c r="UY18" s="177"/>
      <c r="UZ18" s="177"/>
      <c r="VA18" s="177"/>
      <c r="VB18" s="177"/>
      <c r="VC18" s="177"/>
      <c r="VD18" s="177"/>
      <c r="VE18" s="177"/>
      <c r="VF18" s="177"/>
      <c r="VG18" s="177"/>
      <c r="VH18" s="177"/>
      <c r="VI18" s="177"/>
      <c r="VJ18" s="177"/>
      <c r="VK18" s="177"/>
      <c r="VL18" s="177"/>
      <c r="VM18" s="177"/>
      <c r="VN18" s="177"/>
      <c r="VO18" s="177"/>
      <c r="VP18" s="177"/>
      <c r="VQ18" s="177"/>
      <c r="VR18" s="177"/>
      <c r="VS18" s="177"/>
      <c r="VT18" s="177"/>
      <c r="VU18" s="177"/>
      <c r="VV18" s="177"/>
      <c r="VW18" s="177"/>
      <c r="VX18" s="177"/>
      <c r="VY18" s="177"/>
      <c r="VZ18" s="177"/>
      <c r="WA18" s="177"/>
      <c r="WB18" s="177"/>
      <c r="WC18" s="177"/>
      <c r="WD18" s="177"/>
      <c r="WE18" s="177"/>
      <c r="WF18" s="177"/>
      <c r="WG18" s="177"/>
      <c r="WH18" s="177"/>
      <c r="WI18" s="177"/>
      <c r="WJ18" s="177"/>
      <c r="WK18" s="177"/>
      <c r="WL18" s="177"/>
      <c r="WM18" s="177"/>
      <c r="WN18" s="177"/>
      <c r="WO18" s="177"/>
      <c r="WP18" s="177"/>
      <c r="WQ18" s="177"/>
      <c r="WR18" s="177"/>
      <c r="WS18" s="177"/>
      <c r="WT18" s="177"/>
      <c r="WU18" s="177"/>
      <c r="WV18" s="177"/>
      <c r="WW18" s="177"/>
      <c r="WX18" s="177"/>
      <c r="WY18" s="177"/>
      <c r="WZ18" s="177"/>
      <c r="XA18" s="177"/>
      <c r="XB18" s="177"/>
      <c r="XC18" s="177"/>
      <c r="XD18" s="177"/>
      <c r="XE18" s="177"/>
      <c r="XF18" s="177"/>
      <c r="XG18" s="177"/>
      <c r="XH18" s="177"/>
      <c r="XI18" s="177"/>
      <c r="XJ18" s="177"/>
      <c r="XK18" s="177"/>
      <c r="XL18" s="177"/>
      <c r="XM18" s="177"/>
      <c r="XN18" s="177"/>
      <c r="XO18" s="177"/>
      <c r="XP18" s="177"/>
      <c r="XQ18" s="177"/>
      <c r="XR18" s="177"/>
      <c r="XS18" s="177"/>
      <c r="XT18" s="177"/>
      <c r="XU18" s="177"/>
      <c r="XV18" s="177"/>
      <c r="XW18" s="177"/>
      <c r="XX18" s="177"/>
      <c r="XY18" s="177"/>
      <c r="XZ18" s="177"/>
      <c r="YA18" s="177"/>
      <c r="YB18" s="177"/>
      <c r="YC18" s="177"/>
      <c r="YD18" s="177"/>
      <c r="YE18" s="177"/>
      <c r="YF18" s="177"/>
      <c r="YG18" s="177"/>
      <c r="YH18" s="177"/>
      <c r="YI18" s="177"/>
      <c r="YJ18" s="177"/>
      <c r="YK18" s="177"/>
      <c r="YL18" s="177"/>
      <c r="YM18" s="177"/>
      <c r="YN18" s="177"/>
      <c r="YO18" s="177"/>
      <c r="YP18" s="177"/>
      <c r="YQ18" s="177"/>
      <c r="YR18" s="177"/>
      <c r="YS18" s="177"/>
      <c r="YT18" s="177"/>
      <c r="YU18" s="177"/>
      <c r="YV18" s="177"/>
      <c r="YW18" s="177"/>
      <c r="YX18" s="177"/>
      <c r="YY18" s="177"/>
      <c r="YZ18" s="177"/>
      <c r="ZA18" s="177"/>
      <c r="ZB18" s="177"/>
      <c r="ZC18" s="177"/>
      <c r="ZD18" s="177"/>
      <c r="ZE18" s="177"/>
      <c r="ZF18" s="177"/>
      <c r="ZG18" s="177"/>
      <c r="ZH18" s="177"/>
      <c r="ZI18" s="177"/>
      <c r="ZJ18" s="177"/>
      <c r="ZK18" s="177"/>
      <c r="ZL18" s="177"/>
      <c r="ZM18" s="177"/>
      <c r="ZN18" s="177"/>
      <c r="ZO18" s="177"/>
      <c r="ZP18" s="177"/>
      <c r="ZQ18" s="177"/>
      <c r="ZR18" s="177"/>
      <c r="ZS18" s="177"/>
      <c r="ZT18" s="177"/>
      <c r="ZU18" s="177"/>
      <c r="ZV18" s="177"/>
      <c r="ZW18" s="177"/>
      <c r="ZX18" s="177"/>
      <c r="ZY18" s="177"/>
      <c r="ZZ18" s="177"/>
      <c r="AAA18" s="177"/>
      <c r="AAB18" s="177"/>
      <c r="AAC18" s="177"/>
      <c r="AAD18" s="177"/>
      <c r="AAE18" s="177"/>
      <c r="AAF18" s="177"/>
      <c r="AAG18" s="177"/>
      <c r="AAH18" s="177"/>
      <c r="AAI18" s="177"/>
      <c r="AAJ18" s="177"/>
      <c r="AAK18" s="177"/>
      <c r="AAL18" s="177"/>
      <c r="AAM18" s="177"/>
      <c r="AAN18" s="177"/>
      <c r="AAO18" s="177"/>
      <c r="AAP18" s="177"/>
      <c r="AAQ18" s="177"/>
      <c r="AAR18" s="177"/>
      <c r="AAS18" s="177"/>
      <c r="AAT18" s="177"/>
      <c r="AAU18" s="177"/>
      <c r="AAV18" s="177"/>
      <c r="AAW18" s="177"/>
      <c r="AAX18" s="177"/>
      <c r="AAY18" s="177"/>
      <c r="AAZ18" s="177"/>
      <c r="ABA18" s="177"/>
      <c r="ABB18" s="177"/>
      <c r="ABC18" s="177"/>
    </row>
    <row r="19" spans="1:731" ht="15" customHeight="1" x14ac:dyDescent="0.3">
      <c r="A19" s="407" t="s">
        <v>109</v>
      </c>
      <c r="B19" s="435"/>
      <c r="C19" s="299"/>
      <c r="D19" s="45" t="s">
        <v>11</v>
      </c>
      <c r="E19" s="46" t="s">
        <v>26</v>
      </c>
      <c r="F19" s="11">
        <f>J19/$F$2</f>
        <v>83.859788998159388</v>
      </c>
      <c r="G19" s="16">
        <f>K19/$F$2</f>
        <v>93.914641063606069</v>
      </c>
      <c r="H19" s="13">
        <f t="shared" si="15"/>
        <v>-10.054852065446681</v>
      </c>
      <c r="I19" s="49">
        <f t="shared" si="1"/>
        <v>-0.10706373310458353</v>
      </c>
      <c r="J19" s="15">
        <f>'[85]April 25'!$G$4</f>
        <v>25034.762999999999</v>
      </c>
      <c r="K19" s="16">
        <f>'[85]April 25'!$H$4</f>
        <v>28036.45</v>
      </c>
      <c r="L19" s="13">
        <f>J19-K19</f>
        <v>-3001.6870000000017</v>
      </c>
      <c r="M19" s="49">
        <f t="shared" si="21"/>
        <v>-0.10706373310458356</v>
      </c>
      <c r="N19" s="15">
        <f>'[85]April 25'!$O$4</f>
        <v>10022.011</v>
      </c>
      <c r="O19" s="16">
        <f>'[85]April 25'!$P$4</f>
        <v>8288.3119999999999</v>
      </c>
      <c r="P19" s="13">
        <f t="shared" si="17"/>
        <v>1733.6990000000005</v>
      </c>
      <c r="Q19" s="49">
        <f t="shared" si="2"/>
        <v>0.20917395484146839</v>
      </c>
      <c r="R19" s="15">
        <f>'[85]April 25'!$W$4</f>
        <v>155.98699999999999</v>
      </c>
      <c r="S19" s="16">
        <f>'[85]April 25'!$X$4</f>
        <v>39.005000000000003</v>
      </c>
      <c r="T19" s="13">
        <f t="shared" si="18"/>
        <v>116.982</v>
      </c>
      <c r="U19" s="49">
        <f t="shared" si="3"/>
        <v>2.9991539546212023</v>
      </c>
      <c r="V19" s="15">
        <f>'[85]April 25'!$S$4</f>
        <v>6477.4970000000003</v>
      </c>
      <c r="W19" s="16">
        <f>'[85]April 25'!$T$4</f>
        <v>5631.74</v>
      </c>
      <c r="X19" s="13">
        <f t="shared" si="19"/>
        <v>845.75700000000052</v>
      </c>
      <c r="Y19" s="49">
        <f t="shared" si="4"/>
        <v>0.15017685475536877</v>
      </c>
      <c r="Z19" s="15">
        <f>'[85]April 25'!$AA$4</f>
        <v>3700.5010000000002</v>
      </c>
      <c r="AA19" s="82">
        <f>'[85]April 25'!$AB$4</f>
        <v>2695.5770000000002</v>
      </c>
      <c r="AB19" s="13">
        <f t="shared" si="20"/>
        <v>1004.924</v>
      </c>
      <c r="AC19" s="50">
        <f t="shared" si="5"/>
        <v>0.37280478353985064</v>
      </c>
      <c r="AD19" s="186">
        <f>'[85]April 25'!$AI$4</f>
        <v>0</v>
      </c>
      <c r="AE19" s="187">
        <v>0</v>
      </c>
      <c r="AF19" s="108">
        <f t="shared" si="6"/>
        <v>0</v>
      </c>
      <c r="AG19" s="188">
        <v>0</v>
      </c>
      <c r="AH19" s="194">
        <v>0</v>
      </c>
      <c r="AI19" s="195">
        <v>0</v>
      </c>
      <c r="AJ19" s="108">
        <f t="shared" si="8"/>
        <v>0</v>
      </c>
      <c r="AK19" s="50">
        <v>0</v>
      </c>
      <c r="AL19" s="194">
        <f>'[85]April 25'!$AM$4</f>
        <v>3700.5010000000002</v>
      </c>
      <c r="AM19" s="294">
        <f>'[85]April 25'!$AN$4</f>
        <v>2695.5770000000002</v>
      </c>
      <c r="AN19" s="13">
        <f t="shared" si="9"/>
        <v>1004.924</v>
      </c>
      <c r="AO19" s="300">
        <f t="shared" si="10"/>
        <v>0.37280478353985064</v>
      </c>
      <c r="AP19" s="111" t="s">
        <v>145</v>
      </c>
      <c r="AQ19" s="22"/>
      <c r="AR19" s="1">
        <f t="shared" si="11"/>
        <v>0</v>
      </c>
      <c r="AS19" s="1">
        <f t="shared" si="12"/>
        <v>0</v>
      </c>
      <c r="AT19" s="1">
        <f t="shared" si="13"/>
        <v>0</v>
      </c>
      <c r="AU19" s="1">
        <f t="shared" si="14"/>
        <v>0</v>
      </c>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22"/>
      <c r="JL19" s="22"/>
      <c r="JM19" s="22"/>
      <c r="JN19" s="22"/>
      <c r="JO19" s="22"/>
      <c r="JP19" s="22"/>
      <c r="JQ19" s="22"/>
      <c r="JR19" s="22"/>
      <c r="JS19" s="22"/>
      <c r="JT19" s="22"/>
      <c r="JU19" s="22"/>
      <c r="JV19" s="22"/>
      <c r="JW19" s="22"/>
      <c r="JX19" s="22"/>
      <c r="JY19" s="22"/>
      <c r="JZ19" s="22"/>
      <c r="KA19" s="22"/>
      <c r="KB19" s="22"/>
      <c r="KC19" s="22"/>
      <c r="KD19" s="22"/>
      <c r="KE19" s="22"/>
      <c r="KF19" s="22"/>
      <c r="KG19" s="22"/>
      <c r="KH19" s="22"/>
      <c r="KI19" s="22"/>
      <c r="KJ19" s="22"/>
      <c r="KK19" s="22"/>
      <c r="KL19" s="22"/>
      <c r="KM19" s="22"/>
      <c r="KN19" s="22"/>
      <c r="KO19" s="22"/>
      <c r="KP19" s="22"/>
      <c r="KQ19" s="22"/>
      <c r="KR19" s="22"/>
      <c r="KS19" s="22"/>
      <c r="KT19" s="22"/>
      <c r="KU19" s="22"/>
      <c r="KV19" s="22"/>
      <c r="KW19" s="22"/>
      <c r="KX19" s="22"/>
      <c r="KY19" s="22"/>
      <c r="KZ19" s="22"/>
      <c r="LA19" s="22"/>
      <c r="LB19" s="22"/>
      <c r="LC19" s="22"/>
      <c r="LD19" s="22"/>
      <c r="LE19" s="22"/>
      <c r="LF19" s="22"/>
      <c r="LG19" s="22"/>
      <c r="LH19" s="22"/>
      <c r="LI19" s="22"/>
      <c r="LJ19" s="22"/>
      <c r="LK19" s="22"/>
      <c r="LL19" s="22"/>
      <c r="LM19" s="22"/>
      <c r="LN19" s="22"/>
      <c r="LO19" s="22"/>
      <c r="LP19" s="22"/>
      <c r="LQ19" s="22"/>
      <c r="LR19" s="22"/>
      <c r="LS19" s="22"/>
      <c r="LT19" s="22"/>
      <c r="LU19" s="22"/>
      <c r="LV19" s="22"/>
      <c r="LW19" s="22"/>
      <c r="LX19" s="22"/>
      <c r="LY19" s="22"/>
      <c r="LZ19" s="22"/>
      <c r="MA19" s="22"/>
      <c r="MB19" s="22"/>
      <c r="MC19" s="22"/>
      <c r="MD19" s="22"/>
      <c r="ME19" s="22"/>
      <c r="MF19" s="22"/>
      <c r="MG19" s="22"/>
      <c r="MH19" s="22"/>
      <c r="MI19" s="22"/>
      <c r="MJ19" s="22"/>
      <c r="MK19" s="22"/>
      <c r="ML19" s="22"/>
      <c r="MM19" s="22"/>
      <c r="MN19" s="22"/>
      <c r="MO19" s="22"/>
      <c r="MP19" s="22"/>
      <c r="MQ19" s="22"/>
      <c r="MR19" s="22"/>
      <c r="MS19" s="22"/>
      <c r="MT19" s="22"/>
      <c r="MU19" s="22"/>
      <c r="MV19" s="22"/>
      <c r="MW19" s="22"/>
      <c r="MX19" s="22"/>
      <c r="MY19" s="22"/>
      <c r="MZ19" s="22"/>
      <c r="NA19" s="22"/>
      <c r="NB19" s="22"/>
      <c r="NC19" s="22"/>
      <c r="ND19" s="22"/>
      <c r="NE19" s="22"/>
      <c r="NF19" s="22"/>
      <c r="NG19" s="22"/>
      <c r="NH19" s="22"/>
      <c r="NI19" s="22"/>
      <c r="NJ19" s="22"/>
      <c r="NK19" s="22"/>
      <c r="NL19" s="22"/>
      <c r="NM19" s="22"/>
      <c r="NN19" s="22"/>
      <c r="NO19" s="22"/>
      <c r="NP19" s="22"/>
      <c r="NQ19" s="22"/>
      <c r="NR19" s="22"/>
      <c r="NS19" s="22"/>
      <c r="NT19" s="22"/>
      <c r="NU19" s="22"/>
      <c r="NV19" s="22"/>
      <c r="NW19" s="22"/>
      <c r="NX19" s="22"/>
      <c r="NY19" s="22"/>
      <c r="NZ19" s="22"/>
      <c r="OA19" s="22"/>
      <c r="OB19" s="22"/>
      <c r="OC19" s="22"/>
      <c r="OD19" s="22"/>
      <c r="OE19" s="22"/>
      <c r="OF19" s="22"/>
      <c r="OG19" s="22"/>
      <c r="OH19" s="22"/>
      <c r="OI19" s="22"/>
      <c r="OJ19" s="22"/>
      <c r="OK19" s="22"/>
      <c r="OL19" s="22"/>
      <c r="OM19" s="22"/>
      <c r="ON19" s="22"/>
      <c r="OO19" s="22"/>
      <c r="OP19" s="22"/>
      <c r="OQ19" s="22"/>
      <c r="OR19" s="22"/>
      <c r="OS19" s="22"/>
      <c r="OT19" s="22"/>
      <c r="OU19" s="22"/>
      <c r="OV19" s="22"/>
      <c r="OW19" s="22"/>
      <c r="OX19" s="22"/>
      <c r="OY19" s="22"/>
      <c r="OZ19" s="22"/>
      <c r="PA19" s="22"/>
      <c r="PB19" s="22"/>
      <c r="PC19" s="22"/>
      <c r="PD19" s="22"/>
      <c r="PE19" s="22"/>
      <c r="PF19" s="22"/>
      <c r="PG19" s="22"/>
      <c r="PH19" s="22"/>
      <c r="PI19" s="22"/>
      <c r="PJ19" s="22"/>
      <c r="PK19" s="22"/>
      <c r="PL19" s="22"/>
      <c r="PM19" s="22"/>
      <c r="PN19" s="22"/>
      <c r="PO19" s="22"/>
      <c r="PP19" s="22"/>
      <c r="PQ19" s="22"/>
      <c r="PR19" s="22"/>
      <c r="PS19" s="22"/>
      <c r="PT19" s="22"/>
      <c r="PU19" s="22"/>
      <c r="PV19" s="22"/>
      <c r="PW19" s="22"/>
      <c r="PX19" s="22"/>
      <c r="PY19" s="22"/>
      <c r="PZ19" s="22"/>
      <c r="QA19" s="22"/>
      <c r="QB19" s="22"/>
      <c r="QC19" s="22"/>
      <c r="QD19" s="22"/>
      <c r="QE19" s="22"/>
      <c r="QF19" s="22"/>
      <c r="QG19" s="22"/>
      <c r="QH19" s="22"/>
      <c r="QI19" s="22"/>
      <c r="QJ19" s="22"/>
      <c r="QK19" s="22"/>
      <c r="QL19" s="22"/>
      <c r="QM19" s="22"/>
      <c r="QN19" s="22"/>
      <c r="QO19" s="22"/>
      <c r="QP19" s="22"/>
      <c r="QQ19" s="22"/>
      <c r="QR19" s="22"/>
      <c r="QS19" s="22"/>
      <c r="QT19" s="22"/>
      <c r="QU19" s="22"/>
      <c r="QV19" s="22"/>
      <c r="QW19" s="22"/>
      <c r="QX19" s="22"/>
      <c r="QY19" s="22"/>
      <c r="QZ19" s="22"/>
      <c r="RA19" s="22"/>
      <c r="RB19" s="22"/>
      <c r="RC19" s="22"/>
      <c r="RD19" s="22"/>
      <c r="RE19" s="22"/>
      <c r="RF19" s="22"/>
      <c r="RG19" s="22"/>
      <c r="RH19" s="22"/>
      <c r="RI19" s="22"/>
      <c r="RJ19" s="22"/>
      <c r="RK19" s="22"/>
      <c r="RL19" s="22"/>
      <c r="RM19" s="22"/>
      <c r="RN19" s="22"/>
      <c r="RO19" s="22"/>
      <c r="RP19" s="22"/>
      <c r="RQ19" s="22"/>
      <c r="RR19" s="22"/>
      <c r="RS19" s="22"/>
      <c r="RT19" s="22"/>
      <c r="RU19" s="22"/>
      <c r="RV19" s="22"/>
      <c r="RW19" s="22"/>
      <c r="RX19" s="22"/>
      <c r="RY19" s="22"/>
      <c r="RZ19" s="22"/>
      <c r="SA19" s="22"/>
      <c r="SB19" s="22"/>
      <c r="SC19" s="22"/>
      <c r="SD19" s="22"/>
      <c r="SE19" s="22"/>
      <c r="SF19" s="22"/>
      <c r="SG19" s="22"/>
      <c r="SH19" s="22"/>
      <c r="SI19" s="22"/>
      <c r="SJ19" s="22"/>
      <c r="SK19" s="22"/>
      <c r="SL19" s="22"/>
      <c r="SM19" s="22"/>
      <c r="SN19" s="22"/>
      <c r="SO19" s="22"/>
      <c r="SP19" s="22"/>
      <c r="SQ19" s="22"/>
      <c r="SR19" s="22"/>
      <c r="SS19" s="22"/>
      <c r="ST19" s="22"/>
      <c r="SU19" s="22"/>
      <c r="SV19" s="22"/>
      <c r="SW19" s="22"/>
      <c r="SX19" s="22"/>
      <c r="SY19" s="22"/>
      <c r="SZ19" s="22"/>
      <c r="TA19" s="22"/>
      <c r="TB19" s="22"/>
      <c r="TC19" s="22"/>
      <c r="TD19" s="22"/>
      <c r="TE19" s="22"/>
      <c r="TF19" s="22"/>
      <c r="TG19" s="22"/>
      <c r="TH19" s="22"/>
      <c r="TI19" s="22"/>
      <c r="TJ19" s="22"/>
      <c r="TK19" s="22"/>
      <c r="TL19" s="22"/>
      <c r="TM19" s="22"/>
      <c r="TN19" s="22"/>
      <c r="TO19" s="22"/>
      <c r="TP19" s="22"/>
      <c r="TQ19" s="22"/>
      <c r="TR19" s="22"/>
      <c r="TS19" s="22"/>
      <c r="TT19" s="22"/>
      <c r="TU19" s="22"/>
      <c r="TV19" s="22"/>
      <c r="TW19" s="22"/>
      <c r="TX19" s="22"/>
      <c r="TY19" s="22"/>
      <c r="TZ19" s="22"/>
      <c r="UA19" s="22"/>
      <c r="UB19" s="22"/>
      <c r="UC19" s="22"/>
      <c r="UD19" s="22"/>
      <c r="UE19" s="22"/>
      <c r="UF19" s="22"/>
      <c r="UG19" s="22"/>
      <c r="UH19" s="22"/>
      <c r="UI19" s="22"/>
      <c r="UJ19" s="22"/>
      <c r="UK19" s="22"/>
      <c r="UL19" s="22"/>
      <c r="UM19" s="22"/>
      <c r="UN19" s="22"/>
      <c r="UO19" s="22"/>
      <c r="UP19" s="22"/>
      <c r="UQ19" s="22"/>
      <c r="UR19" s="22"/>
      <c r="US19" s="22"/>
      <c r="UT19" s="22"/>
      <c r="UU19" s="22"/>
      <c r="UV19" s="22"/>
      <c r="UW19" s="22"/>
      <c r="UX19" s="22"/>
      <c r="UY19" s="22"/>
      <c r="UZ19" s="22"/>
      <c r="VA19" s="22"/>
      <c r="VB19" s="22"/>
      <c r="VC19" s="22"/>
      <c r="VD19" s="22"/>
      <c r="VE19" s="22"/>
      <c r="VF19" s="22"/>
      <c r="VG19" s="22"/>
      <c r="VH19" s="22"/>
      <c r="VI19" s="22"/>
      <c r="VJ19" s="22"/>
      <c r="VK19" s="22"/>
      <c r="VL19" s="22"/>
      <c r="VM19" s="22"/>
      <c r="VN19" s="22"/>
      <c r="VO19" s="22"/>
      <c r="VP19" s="22"/>
      <c r="VQ19" s="22"/>
      <c r="VR19" s="22"/>
      <c r="VS19" s="22"/>
      <c r="VT19" s="22"/>
      <c r="VU19" s="22"/>
      <c r="VV19" s="22"/>
      <c r="VW19" s="22"/>
      <c r="VX19" s="22"/>
      <c r="VY19" s="22"/>
      <c r="VZ19" s="22"/>
      <c r="WA19" s="22"/>
      <c r="WB19" s="22"/>
      <c r="WC19" s="22"/>
      <c r="WD19" s="22"/>
      <c r="WE19" s="22"/>
      <c r="WF19" s="22"/>
      <c r="WG19" s="22"/>
      <c r="WH19" s="22"/>
      <c r="WI19" s="22"/>
      <c r="WJ19" s="22"/>
      <c r="WK19" s="22"/>
      <c r="WL19" s="22"/>
      <c r="WM19" s="22"/>
      <c r="WN19" s="22"/>
      <c r="WO19" s="22"/>
      <c r="WP19" s="22"/>
      <c r="WQ19" s="22"/>
      <c r="WR19" s="22"/>
      <c r="WS19" s="22"/>
      <c r="WT19" s="22"/>
      <c r="WU19" s="22"/>
      <c r="WV19" s="22"/>
      <c r="WW19" s="22"/>
      <c r="WX19" s="22"/>
      <c r="WY19" s="22"/>
      <c r="WZ19" s="22"/>
      <c r="XA19" s="22"/>
      <c r="XB19" s="22"/>
      <c r="XC19" s="22"/>
      <c r="XD19" s="22"/>
      <c r="XE19" s="22"/>
      <c r="XF19" s="22"/>
      <c r="XG19" s="22"/>
      <c r="XH19" s="22"/>
      <c r="XI19" s="22"/>
      <c r="XJ19" s="22"/>
      <c r="XK19" s="22"/>
      <c r="XL19" s="22"/>
      <c r="XM19" s="22"/>
      <c r="XN19" s="22"/>
      <c r="XO19" s="22"/>
      <c r="XP19" s="22"/>
      <c r="XQ19" s="22"/>
      <c r="XR19" s="22"/>
      <c r="XS19" s="22"/>
      <c r="XT19" s="22"/>
      <c r="XU19" s="22"/>
      <c r="XV19" s="22"/>
      <c r="XW19" s="22"/>
      <c r="XX19" s="22"/>
      <c r="XY19" s="22"/>
      <c r="XZ19" s="22"/>
      <c r="YA19" s="22"/>
      <c r="YB19" s="22"/>
      <c r="YC19" s="22"/>
      <c r="YD19" s="22"/>
      <c r="YE19" s="22"/>
      <c r="YF19" s="22"/>
      <c r="YG19" s="22"/>
      <c r="YH19" s="22"/>
      <c r="YI19" s="22"/>
      <c r="YJ19" s="22"/>
      <c r="YK19" s="22"/>
      <c r="YL19" s="22"/>
      <c r="YM19" s="22"/>
      <c r="YN19" s="22"/>
      <c r="YO19" s="22"/>
      <c r="YP19" s="22"/>
      <c r="YQ19" s="22"/>
      <c r="YR19" s="22"/>
      <c r="YS19" s="22"/>
      <c r="YT19" s="22"/>
      <c r="YU19" s="22"/>
      <c r="YV19" s="22"/>
      <c r="YW19" s="22"/>
      <c r="YX19" s="22"/>
      <c r="YY19" s="22"/>
      <c r="YZ19" s="22"/>
      <c r="ZA19" s="22"/>
      <c r="ZB19" s="22"/>
      <c r="ZC19" s="22"/>
      <c r="ZD19" s="22"/>
      <c r="ZE19" s="22"/>
      <c r="ZF19" s="22"/>
      <c r="ZG19" s="22"/>
      <c r="ZH19" s="22"/>
      <c r="ZI19" s="22"/>
      <c r="ZJ19" s="22"/>
      <c r="ZK19" s="22"/>
      <c r="ZL19" s="22"/>
      <c r="ZM19" s="22"/>
      <c r="ZN19" s="22"/>
      <c r="ZO19" s="22"/>
      <c r="ZP19" s="22"/>
      <c r="ZQ19" s="22"/>
      <c r="ZR19" s="22"/>
      <c r="ZS19" s="22"/>
      <c r="ZT19" s="22"/>
      <c r="ZU19" s="22"/>
      <c r="ZV19" s="22"/>
      <c r="ZW19" s="22"/>
      <c r="ZX19" s="22"/>
      <c r="ZY19" s="22"/>
      <c r="ZZ19" s="22"/>
      <c r="AAA19" s="22"/>
      <c r="AAB19" s="22"/>
      <c r="AAC19" s="22"/>
      <c r="AAD19" s="22"/>
      <c r="AAE19" s="22"/>
      <c r="AAF19" s="22"/>
      <c r="AAG19" s="22"/>
      <c r="AAH19" s="22"/>
      <c r="AAI19" s="22"/>
      <c r="AAJ19" s="22"/>
      <c r="AAK19" s="22"/>
      <c r="AAL19" s="22"/>
      <c r="AAM19" s="22"/>
      <c r="AAN19" s="22"/>
      <c r="AAO19" s="22"/>
      <c r="AAP19" s="22"/>
      <c r="AAQ19" s="22"/>
      <c r="AAR19" s="22"/>
      <c r="AAS19" s="22"/>
      <c r="AAT19" s="22"/>
      <c r="AAU19" s="22"/>
      <c r="AAV19" s="22"/>
      <c r="AAW19" s="22"/>
      <c r="AAX19" s="22"/>
      <c r="AAY19" s="22"/>
      <c r="AAZ19" s="22"/>
      <c r="ABA19" s="22"/>
      <c r="ABB19" s="22"/>
      <c r="ABC19" s="22"/>
    </row>
    <row r="20" spans="1:731" ht="15" customHeight="1" x14ac:dyDescent="0.3">
      <c r="A20" s="422"/>
      <c r="B20" s="435"/>
      <c r="C20" s="296"/>
      <c r="D20" s="9" t="s">
        <v>11</v>
      </c>
      <c r="E20" s="10" t="s">
        <v>27</v>
      </c>
      <c r="F20" s="11">
        <f t="shared" ref="F20:G24" si="23">J20/$F$2</f>
        <v>0</v>
      </c>
      <c r="G20" s="16">
        <f t="shared" si="23"/>
        <v>0</v>
      </c>
      <c r="H20" s="13">
        <f t="shared" si="15"/>
        <v>0</v>
      </c>
      <c r="I20" s="14">
        <v>0</v>
      </c>
      <c r="J20" s="15">
        <f>'[85]April 25'!$G$5</f>
        <v>0</v>
      </c>
      <c r="K20" s="16">
        <f>'[85]April 25'!$H$5</f>
        <v>0</v>
      </c>
      <c r="L20" s="52">
        <f t="shared" si="16"/>
        <v>0</v>
      </c>
      <c r="M20" s="14">
        <v>0</v>
      </c>
      <c r="N20" s="15">
        <f>'[85]April 25'!$O$5</f>
        <v>0</v>
      </c>
      <c r="O20" s="16">
        <f>'[85]April 25'!$P$5</f>
        <v>0</v>
      </c>
      <c r="P20" s="52">
        <f t="shared" si="17"/>
        <v>0</v>
      </c>
      <c r="Q20" s="14">
        <v>0</v>
      </c>
      <c r="R20" s="15">
        <f>'[85]April 25'!$W$5</f>
        <v>2.6549999999999998</v>
      </c>
      <c r="S20" s="16">
        <f>'[85]April 25'!$X$5</f>
        <v>0</v>
      </c>
      <c r="T20" s="52">
        <f t="shared" si="18"/>
        <v>2.6549999999999998</v>
      </c>
      <c r="U20" s="14">
        <v>0</v>
      </c>
      <c r="V20" s="15">
        <f>'[85]April 25'!$S$5</f>
        <v>3</v>
      </c>
      <c r="W20" s="16">
        <f>'[85]April 25'!$T$5</f>
        <v>0</v>
      </c>
      <c r="X20" s="52">
        <f t="shared" si="19"/>
        <v>3</v>
      </c>
      <c r="Y20" s="14">
        <v>0</v>
      </c>
      <c r="Z20" s="15">
        <f>'[85]April 25'!$AA$5</f>
        <v>-0.34499999999999997</v>
      </c>
      <c r="AA20" s="16">
        <f>Z20</f>
        <v>-0.34499999999999997</v>
      </c>
      <c r="AB20" s="52">
        <f t="shared" si="20"/>
        <v>0</v>
      </c>
      <c r="AC20" s="19">
        <f t="shared" si="5"/>
        <v>0</v>
      </c>
      <c r="AD20" s="126">
        <v>0</v>
      </c>
      <c r="AE20" s="139">
        <v>0</v>
      </c>
      <c r="AF20" s="108">
        <f t="shared" si="6"/>
        <v>0</v>
      </c>
      <c r="AG20" s="113">
        <v>0</v>
      </c>
      <c r="AH20" s="141">
        <v>0</v>
      </c>
      <c r="AI20" s="128">
        <v>0</v>
      </c>
      <c r="AJ20" s="108">
        <f t="shared" si="8"/>
        <v>0</v>
      </c>
      <c r="AK20" s="19">
        <v>0</v>
      </c>
      <c r="AL20" s="141">
        <f>'[85]April 25'!$AM$5</f>
        <v>-0.34499999999999997</v>
      </c>
      <c r="AM20" s="135">
        <f>'[85]April 25'!$AN$5</f>
        <v>0</v>
      </c>
      <c r="AN20" s="13">
        <f t="shared" si="9"/>
        <v>-0.34499999999999997</v>
      </c>
      <c r="AO20" s="244" t="str">
        <f t="shared" si="10"/>
        <v/>
      </c>
      <c r="AP20" s="88" t="s">
        <v>146</v>
      </c>
      <c r="AQ20" s="22"/>
      <c r="AR20" s="1">
        <f t="shared" si="11"/>
        <v>0</v>
      </c>
      <c r="AS20" s="1">
        <f t="shared" si="12"/>
        <v>0.34499999999999997</v>
      </c>
      <c r="AT20" s="1">
        <f t="shared" si="13"/>
        <v>0</v>
      </c>
      <c r="AU20" s="1">
        <f t="shared" si="14"/>
        <v>-0.34499999999999997</v>
      </c>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c r="IS20" s="22"/>
      <c r="IT20" s="22"/>
      <c r="IU20" s="22"/>
      <c r="IV20" s="22"/>
      <c r="IW20" s="22"/>
      <c r="IX20" s="22"/>
      <c r="IY20" s="22"/>
      <c r="IZ20" s="22"/>
      <c r="JA20" s="22"/>
      <c r="JB20" s="22"/>
      <c r="JC20" s="22"/>
      <c r="JD20" s="22"/>
      <c r="JE20" s="22"/>
      <c r="JF20" s="22"/>
      <c r="JG20" s="22"/>
      <c r="JH20" s="22"/>
      <c r="JI20" s="22"/>
      <c r="JJ20" s="22"/>
      <c r="JK20" s="22"/>
      <c r="JL20" s="22"/>
      <c r="JM20" s="22"/>
      <c r="JN20" s="22"/>
      <c r="JO20" s="22"/>
      <c r="JP20" s="22"/>
      <c r="JQ20" s="22"/>
      <c r="JR20" s="22"/>
      <c r="JS20" s="22"/>
      <c r="JT20" s="22"/>
      <c r="JU20" s="22"/>
      <c r="JV20" s="22"/>
      <c r="JW20" s="22"/>
      <c r="JX20" s="22"/>
      <c r="JY20" s="22"/>
      <c r="JZ20" s="22"/>
      <c r="KA20" s="22"/>
      <c r="KB20" s="22"/>
      <c r="KC20" s="22"/>
      <c r="KD20" s="22"/>
      <c r="KE20" s="22"/>
      <c r="KF20" s="22"/>
      <c r="KG20" s="22"/>
      <c r="KH20" s="22"/>
      <c r="KI20" s="22"/>
      <c r="KJ20" s="22"/>
      <c r="KK20" s="22"/>
      <c r="KL20" s="22"/>
      <c r="KM20" s="22"/>
      <c r="KN20" s="22"/>
      <c r="KO20" s="22"/>
      <c r="KP20" s="22"/>
      <c r="KQ20" s="22"/>
      <c r="KR20" s="22"/>
      <c r="KS20" s="22"/>
      <c r="KT20" s="22"/>
      <c r="KU20" s="22"/>
      <c r="KV20" s="22"/>
      <c r="KW20" s="22"/>
      <c r="KX20" s="22"/>
      <c r="KY20" s="22"/>
      <c r="KZ20" s="22"/>
      <c r="LA20" s="22"/>
      <c r="LB20" s="22"/>
      <c r="LC20" s="22"/>
      <c r="LD20" s="22"/>
      <c r="LE20" s="22"/>
      <c r="LF20" s="22"/>
      <c r="LG20" s="22"/>
      <c r="LH20" s="22"/>
      <c r="LI20" s="22"/>
      <c r="LJ20" s="22"/>
      <c r="LK20" s="22"/>
      <c r="LL20" s="22"/>
      <c r="LM20" s="22"/>
      <c r="LN20" s="22"/>
      <c r="LO20" s="22"/>
      <c r="LP20" s="22"/>
      <c r="LQ20" s="22"/>
      <c r="LR20" s="22"/>
      <c r="LS20" s="22"/>
      <c r="LT20" s="22"/>
      <c r="LU20" s="22"/>
      <c r="LV20" s="22"/>
      <c r="LW20" s="22"/>
      <c r="LX20" s="22"/>
      <c r="LY20" s="22"/>
      <c r="LZ20" s="22"/>
      <c r="MA20" s="22"/>
      <c r="MB20" s="22"/>
      <c r="MC20" s="22"/>
      <c r="MD20" s="22"/>
      <c r="ME20" s="22"/>
      <c r="MF20" s="22"/>
      <c r="MG20" s="22"/>
      <c r="MH20" s="22"/>
      <c r="MI20" s="22"/>
      <c r="MJ20" s="22"/>
      <c r="MK20" s="22"/>
      <c r="ML20" s="22"/>
      <c r="MM20" s="22"/>
      <c r="MN20" s="22"/>
      <c r="MO20" s="22"/>
      <c r="MP20" s="22"/>
      <c r="MQ20" s="22"/>
      <c r="MR20" s="22"/>
      <c r="MS20" s="22"/>
      <c r="MT20" s="22"/>
      <c r="MU20" s="22"/>
      <c r="MV20" s="22"/>
      <c r="MW20" s="22"/>
      <c r="MX20" s="22"/>
      <c r="MY20" s="22"/>
      <c r="MZ20" s="22"/>
      <c r="NA20" s="22"/>
      <c r="NB20" s="22"/>
      <c r="NC20" s="22"/>
      <c r="ND20" s="22"/>
      <c r="NE20" s="22"/>
      <c r="NF20" s="22"/>
      <c r="NG20" s="22"/>
      <c r="NH20" s="22"/>
      <c r="NI20" s="22"/>
      <c r="NJ20" s="22"/>
      <c r="NK20" s="22"/>
      <c r="NL20" s="22"/>
      <c r="NM20" s="22"/>
      <c r="NN20" s="22"/>
      <c r="NO20" s="22"/>
      <c r="NP20" s="22"/>
      <c r="NQ20" s="22"/>
      <c r="NR20" s="22"/>
      <c r="NS20" s="22"/>
      <c r="NT20" s="22"/>
      <c r="NU20" s="22"/>
      <c r="NV20" s="22"/>
      <c r="NW20" s="22"/>
      <c r="NX20" s="22"/>
      <c r="NY20" s="22"/>
      <c r="NZ20" s="22"/>
      <c r="OA20" s="22"/>
      <c r="OB20" s="22"/>
      <c r="OC20" s="22"/>
      <c r="OD20" s="22"/>
      <c r="OE20" s="22"/>
      <c r="OF20" s="22"/>
      <c r="OG20" s="22"/>
      <c r="OH20" s="22"/>
      <c r="OI20" s="22"/>
      <c r="OJ20" s="22"/>
      <c r="OK20" s="22"/>
      <c r="OL20" s="22"/>
      <c r="OM20" s="22"/>
      <c r="ON20" s="22"/>
      <c r="OO20" s="22"/>
      <c r="OP20" s="22"/>
      <c r="OQ20" s="22"/>
      <c r="OR20" s="22"/>
      <c r="OS20" s="22"/>
      <c r="OT20" s="22"/>
      <c r="OU20" s="22"/>
      <c r="OV20" s="22"/>
      <c r="OW20" s="22"/>
      <c r="OX20" s="22"/>
      <c r="OY20" s="22"/>
      <c r="OZ20" s="22"/>
      <c r="PA20" s="22"/>
      <c r="PB20" s="22"/>
      <c r="PC20" s="22"/>
      <c r="PD20" s="22"/>
      <c r="PE20" s="22"/>
      <c r="PF20" s="22"/>
      <c r="PG20" s="22"/>
      <c r="PH20" s="22"/>
      <c r="PI20" s="22"/>
      <c r="PJ20" s="22"/>
      <c r="PK20" s="22"/>
      <c r="PL20" s="22"/>
      <c r="PM20" s="22"/>
      <c r="PN20" s="22"/>
      <c r="PO20" s="22"/>
      <c r="PP20" s="22"/>
      <c r="PQ20" s="22"/>
      <c r="PR20" s="22"/>
      <c r="PS20" s="22"/>
      <c r="PT20" s="22"/>
      <c r="PU20" s="22"/>
      <c r="PV20" s="22"/>
      <c r="PW20" s="22"/>
      <c r="PX20" s="22"/>
      <c r="PY20" s="22"/>
      <c r="PZ20" s="22"/>
      <c r="QA20" s="22"/>
      <c r="QB20" s="22"/>
      <c r="QC20" s="22"/>
      <c r="QD20" s="22"/>
      <c r="QE20" s="22"/>
      <c r="QF20" s="22"/>
      <c r="QG20" s="22"/>
      <c r="QH20" s="22"/>
      <c r="QI20" s="22"/>
      <c r="QJ20" s="22"/>
      <c r="QK20" s="22"/>
      <c r="QL20" s="22"/>
      <c r="QM20" s="22"/>
      <c r="QN20" s="22"/>
      <c r="QO20" s="22"/>
      <c r="QP20" s="22"/>
      <c r="QQ20" s="22"/>
      <c r="QR20" s="22"/>
      <c r="QS20" s="22"/>
      <c r="QT20" s="22"/>
      <c r="QU20" s="22"/>
      <c r="QV20" s="22"/>
      <c r="QW20" s="22"/>
      <c r="QX20" s="22"/>
      <c r="QY20" s="22"/>
      <c r="QZ20" s="22"/>
      <c r="RA20" s="22"/>
      <c r="RB20" s="22"/>
      <c r="RC20" s="22"/>
      <c r="RD20" s="22"/>
      <c r="RE20" s="22"/>
      <c r="RF20" s="22"/>
      <c r="RG20" s="22"/>
      <c r="RH20" s="22"/>
      <c r="RI20" s="22"/>
      <c r="RJ20" s="22"/>
      <c r="RK20" s="22"/>
      <c r="RL20" s="22"/>
      <c r="RM20" s="22"/>
      <c r="RN20" s="22"/>
      <c r="RO20" s="22"/>
      <c r="RP20" s="22"/>
      <c r="RQ20" s="22"/>
      <c r="RR20" s="22"/>
      <c r="RS20" s="22"/>
      <c r="RT20" s="22"/>
      <c r="RU20" s="22"/>
      <c r="RV20" s="22"/>
      <c r="RW20" s="22"/>
      <c r="RX20" s="22"/>
      <c r="RY20" s="22"/>
      <c r="RZ20" s="22"/>
      <c r="SA20" s="22"/>
      <c r="SB20" s="22"/>
      <c r="SC20" s="22"/>
      <c r="SD20" s="22"/>
      <c r="SE20" s="22"/>
      <c r="SF20" s="22"/>
      <c r="SG20" s="22"/>
      <c r="SH20" s="22"/>
      <c r="SI20" s="22"/>
      <c r="SJ20" s="22"/>
      <c r="SK20" s="22"/>
      <c r="SL20" s="22"/>
      <c r="SM20" s="22"/>
      <c r="SN20" s="22"/>
      <c r="SO20" s="22"/>
      <c r="SP20" s="22"/>
      <c r="SQ20" s="22"/>
      <c r="SR20" s="22"/>
      <c r="SS20" s="22"/>
      <c r="ST20" s="22"/>
      <c r="SU20" s="22"/>
      <c r="SV20" s="22"/>
      <c r="SW20" s="22"/>
      <c r="SX20" s="22"/>
      <c r="SY20" s="22"/>
      <c r="SZ20" s="22"/>
      <c r="TA20" s="22"/>
      <c r="TB20" s="22"/>
      <c r="TC20" s="22"/>
      <c r="TD20" s="22"/>
      <c r="TE20" s="22"/>
      <c r="TF20" s="22"/>
      <c r="TG20" s="22"/>
      <c r="TH20" s="22"/>
      <c r="TI20" s="22"/>
      <c r="TJ20" s="22"/>
      <c r="TK20" s="22"/>
      <c r="TL20" s="22"/>
      <c r="TM20" s="22"/>
      <c r="TN20" s="22"/>
      <c r="TO20" s="22"/>
      <c r="TP20" s="22"/>
      <c r="TQ20" s="22"/>
      <c r="TR20" s="22"/>
      <c r="TS20" s="22"/>
      <c r="TT20" s="22"/>
      <c r="TU20" s="22"/>
      <c r="TV20" s="22"/>
      <c r="TW20" s="22"/>
      <c r="TX20" s="22"/>
      <c r="TY20" s="22"/>
      <c r="TZ20" s="22"/>
      <c r="UA20" s="22"/>
      <c r="UB20" s="22"/>
      <c r="UC20" s="22"/>
      <c r="UD20" s="22"/>
      <c r="UE20" s="22"/>
      <c r="UF20" s="22"/>
      <c r="UG20" s="22"/>
      <c r="UH20" s="22"/>
      <c r="UI20" s="22"/>
      <c r="UJ20" s="22"/>
      <c r="UK20" s="22"/>
      <c r="UL20" s="22"/>
      <c r="UM20" s="22"/>
      <c r="UN20" s="22"/>
      <c r="UO20" s="22"/>
      <c r="UP20" s="22"/>
      <c r="UQ20" s="22"/>
      <c r="UR20" s="22"/>
      <c r="US20" s="22"/>
      <c r="UT20" s="22"/>
      <c r="UU20" s="22"/>
      <c r="UV20" s="22"/>
      <c r="UW20" s="22"/>
      <c r="UX20" s="22"/>
      <c r="UY20" s="22"/>
      <c r="UZ20" s="22"/>
      <c r="VA20" s="22"/>
      <c r="VB20" s="22"/>
      <c r="VC20" s="22"/>
      <c r="VD20" s="22"/>
      <c r="VE20" s="22"/>
      <c r="VF20" s="22"/>
      <c r="VG20" s="22"/>
      <c r="VH20" s="22"/>
      <c r="VI20" s="22"/>
      <c r="VJ20" s="22"/>
      <c r="VK20" s="22"/>
      <c r="VL20" s="22"/>
      <c r="VM20" s="22"/>
      <c r="VN20" s="22"/>
      <c r="VO20" s="22"/>
      <c r="VP20" s="22"/>
      <c r="VQ20" s="22"/>
      <c r="VR20" s="22"/>
      <c r="VS20" s="22"/>
      <c r="VT20" s="22"/>
      <c r="VU20" s="22"/>
      <c r="VV20" s="22"/>
      <c r="VW20" s="22"/>
      <c r="VX20" s="22"/>
      <c r="VY20" s="22"/>
      <c r="VZ20" s="22"/>
      <c r="WA20" s="22"/>
      <c r="WB20" s="22"/>
      <c r="WC20" s="22"/>
      <c r="WD20" s="22"/>
      <c r="WE20" s="22"/>
      <c r="WF20" s="22"/>
      <c r="WG20" s="22"/>
      <c r="WH20" s="22"/>
      <c r="WI20" s="22"/>
      <c r="WJ20" s="22"/>
      <c r="WK20" s="22"/>
      <c r="WL20" s="22"/>
      <c r="WM20" s="22"/>
      <c r="WN20" s="22"/>
      <c r="WO20" s="22"/>
      <c r="WP20" s="22"/>
      <c r="WQ20" s="22"/>
      <c r="WR20" s="22"/>
      <c r="WS20" s="22"/>
      <c r="WT20" s="22"/>
      <c r="WU20" s="22"/>
      <c r="WV20" s="22"/>
      <c r="WW20" s="22"/>
      <c r="WX20" s="22"/>
      <c r="WY20" s="22"/>
      <c r="WZ20" s="22"/>
      <c r="XA20" s="22"/>
      <c r="XB20" s="22"/>
      <c r="XC20" s="22"/>
      <c r="XD20" s="22"/>
      <c r="XE20" s="22"/>
      <c r="XF20" s="22"/>
      <c r="XG20" s="22"/>
      <c r="XH20" s="22"/>
      <c r="XI20" s="22"/>
      <c r="XJ20" s="22"/>
      <c r="XK20" s="22"/>
      <c r="XL20" s="22"/>
      <c r="XM20" s="22"/>
      <c r="XN20" s="22"/>
      <c r="XO20" s="22"/>
      <c r="XP20" s="22"/>
      <c r="XQ20" s="22"/>
      <c r="XR20" s="22"/>
      <c r="XS20" s="22"/>
      <c r="XT20" s="22"/>
      <c r="XU20" s="22"/>
      <c r="XV20" s="22"/>
      <c r="XW20" s="22"/>
      <c r="XX20" s="22"/>
      <c r="XY20" s="22"/>
      <c r="XZ20" s="22"/>
      <c r="YA20" s="22"/>
      <c r="YB20" s="22"/>
      <c r="YC20" s="22"/>
      <c r="YD20" s="22"/>
      <c r="YE20" s="22"/>
      <c r="YF20" s="22"/>
      <c r="YG20" s="22"/>
      <c r="YH20" s="22"/>
      <c r="YI20" s="22"/>
      <c r="YJ20" s="22"/>
      <c r="YK20" s="22"/>
      <c r="YL20" s="22"/>
      <c r="YM20" s="22"/>
      <c r="YN20" s="22"/>
      <c r="YO20" s="22"/>
      <c r="YP20" s="22"/>
      <c r="YQ20" s="22"/>
      <c r="YR20" s="22"/>
      <c r="YS20" s="22"/>
      <c r="YT20" s="22"/>
      <c r="YU20" s="22"/>
      <c r="YV20" s="22"/>
      <c r="YW20" s="22"/>
      <c r="YX20" s="22"/>
      <c r="YY20" s="22"/>
      <c r="YZ20" s="22"/>
      <c r="ZA20" s="22"/>
      <c r="ZB20" s="22"/>
      <c r="ZC20" s="22"/>
      <c r="ZD20" s="22"/>
      <c r="ZE20" s="22"/>
      <c r="ZF20" s="22"/>
      <c r="ZG20" s="22"/>
      <c r="ZH20" s="22"/>
      <c r="ZI20" s="22"/>
      <c r="ZJ20" s="22"/>
      <c r="ZK20" s="22"/>
      <c r="ZL20" s="22"/>
      <c r="ZM20" s="22"/>
      <c r="ZN20" s="22"/>
      <c r="ZO20" s="22"/>
      <c r="ZP20" s="22"/>
      <c r="ZQ20" s="22"/>
      <c r="ZR20" s="22"/>
      <c r="ZS20" s="22"/>
      <c r="ZT20" s="22"/>
      <c r="ZU20" s="22"/>
      <c r="ZV20" s="22"/>
      <c r="ZW20" s="22"/>
      <c r="ZX20" s="22"/>
      <c r="ZY20" s="22"/>
      <c r="ZZ20" s="22"/>
      <c r="AAA20" s="22"/>
      <c r="AAB20" s="22"/>
      <c r="AAC20" s="22"/>
      <c r="AAD20" s="22"/>
      <c r="AAE20" s="22"/>
      <c r="AAF20" s="22"/>
      <c r="AAG20" s="22"/>
      <c r="AAH20" s="22"/>
      <c r="AAI20" s="22"/>
      <c r="AAJ20" s="22"/>
      <c r="AAK20" s="22"/>
      <c r="AAL20" s="22"/>
      <c r="AAM20" s="22"/>
      <c r="AAN20" s="22"/>
      <c r="AAO20" s="22"/>
      <c r="AAP20" s="22"/>
      <c r="AAQ20" s="22"/>
      <c r="AAR20" s="22"/>
      <c r="AAS20" s="22"/>
      <c r="AAT20" s="22"/>
      <c r="AAU20" s="22"/>
      <c r="AAV20" s="22"/>
      <c r="AAW20" s="22"/>
      <c r="AAX20" s="22"/>
      <c r="AAY20" s="22"/>
      <c r="AAZ20" s="22"/>
      <c r="ABA20" s="22"/>
      <c r="ABB20" s="22"/>
      <c r="ABC20" s="22"/>
    </row>
    <row r="21" spans="1:731" ht="15" customHeight="1" x14ac:dyDescent="0.3">
      <c r="A21" s="422"/>
      <c r="B21" s="435"/>
      <c r="C21" s="296"/>
      <c r="D21" s="9" t="s">
        <v>11</v>
      </c>
      <c r="E21" s="10" t="s">
        <v>28</v>
      </c>
      <c r="F21" s="11">
        <f t="shared" si="23"/>
        <v>62.505714910124823</v>
      </c>
      <c r="G21" s="16">
        <f t="shared" si="23"/>
        <v>96.475317489417677</v>
      </c>
      <c r="H21" s="13">
        <f t="shared" si="15"/>
        <v>-33.969602579292854</v>
      </c>
      <c r="I21" s="14">
        <f t="shared" si="1"/>
        <v>-0.35210666793627249</v>
      </c>
      <c r="J21" s="15">
        <f>'[85]April 25'!$G$6</f>
        <v>18659.905750000002</v>
      </c>
      <c r="K21" s="16">
        <f>'[85]April 25'!$H$6</f>
        <v>28800.891792732007</v>
      </c>
      <c r="L21" s="52">
        <f t="shared" si="16"/>
        <v>-10140.986042732005</v>
      </c>
      <c r="M21" s="14">
        <f t="shared" si="21"/>
        <v>-0.35210666793627254</v>
      </c>
      <c r="N21" s="15">
        <f>'[85]April 25'!$O$6</f>
        <v>4177.1724800000002</v>
      </c>
      <c r="O21" s="16">
        <f>'[85]April 25'!$P$6</f>
        <v>5319.9870298469923</v>
      </c>
      <c r="P21" s="52">
        <f t="shared" si="17"/>
        <v>-1142.8145498469921</v>
      </c>
      <c r="Q21" s="14">
        <f t="shared" si="2"/>
        <v>-0.2148152887282247</v>
      </c>
      <c r="R21" s="15">
        <f>'[85]April 25'!$W$6</f>
        <v>379.36306999999999</v>
      </c>
      <c r="S21" s="16">
        <f>'[85]April 25'!$X$6</f>
        <v>414.83499999999998</v>
      </c>
      <c r="T21" s="52">
        <f t="shared" si="18"/>
        <v>-35.471929999999986</v>
      </c>
      <c r="U21" s="14">
        <f t="shared" si="3"/>
        <v>-8.5508527486832089E-2</v>
      </c>
      <c r="V21" s="15">
        <f>'[85]April 25'!$S$6</f>
        <v>4297.2204199999987</v>
      </c>
      <c r="W21" s="16">
        <f>'[85]April 25'!$T$6</f>
        <v>4831.3666109852111</v>
      </c>
      <c r="X21" s="52">
        <f t="shared" si="19"/>
        <v>-534.14619098521234</v>
      </c>
      <c r="Y21" s="14">
        <f t="shared" si="4"/>
        <v>-0.11055799197078306</v>
      </c>
      <c r="Z21" s="15">
        <f>'[85]April 25'!$AA$6</f>
        <v>259.31513000000268</v>
      </c>
      <c r="AA21" s="16">
        <f>'[85]April 25'!$AB$6</f>
        <v>903.45541886178034</v>
      </c>
      <c r="AB21" s="52">
        <f t="shared" si="20"/>
        <v>-644.14028886177766</v>
      </c>
      <c r="AC21" s="19">
        <f t="shared" si="5"/>
        <v>-0.7129740720060086</v>
      </c>
      <c r="AD21" s="126">
        <v>0</v>
      </c>
      <c r="AE21" s="139">
        <v>0</v>
      </c>
      <c r="AF21" s="108">
        <f t="shared" si="6"/>
        <v>0</v>
      </c>
      <c r="AG21" s="113">
        <v>0</v>
      </c>
      <c r="AH21" s="141">
        <v>0</v>
      </c>
      <c r="AI21" s="128">
        <v>0</v>
      </c>
      <c r="AJ21" s="108">
        <f t="shared" si="8"/>
        <v>0</v>
      </c>
      <c r="AK21" s="19">
        <v>0</v>
      </c>
      <c r="AL21" s="142">
        <f>'[85]April 25'!$AM$6</f>
        <v>259.31513000000268</v>
      </c>
      <c r="AM21" s="133">
        <f>'[85]April 25'!$AN$6</f>
        <v>903.45541886178034</v>
      </c>
      <c r="AN21" s="13">
        <f t="shared" si="9"/>
        <v>-644.14028886177766</v>
      </c>
      <c r="AO21" s="244">
        <f t="shared" si="10"/>
        <v>-0.7129740720060086</v>
      </c>
      <c r="AP21" s="111" t="s">
        <v>147</v>
      </c>
      <c r="AQ21" s="22"/>
      <c r="AR21" s="1">
        <f t="shared" si="11"/>
        <v>-9.0949470177292824E-13</v>
      </c>
      <c r="AS21" s="1">
        <f t="shared" si="12"/>
        <v>9.0949470177292824E-13</v>
      </c>
      <c r="AT21" s="1">
        <f t="shared" si="13"/>
        <v>0</v>
      </c>
      <c r="AU21" s="1">
        <f t="shared" si="14"/>
        <v>0</v>
      </c>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c r="IS21" s="22"/>
      <c r="IT21" s="22"/>
      <c r="IU21" s="22"/>
      <c r="IV21" s="22"/>
      <c r="IW21" s="22"/>
      <c r="IX21" s="22"/>
      <c r="IY21" s="22"/>
      <c r="IZ21" s="22"/>
      <c r="JA21" s="22"/>
      <c r="JB21" s="22"/>
      <c r="JC21" s="22"/>
      <c r="JD21" s="22"/>
      <c r="JE21" s="22"/>
      <c r="JF21" s="22"/>
      <c r="JG21" s="22"/>
      <c r="JH21" s="22"/>
      <c r="JI21" s="22"/>
      <c r="JJ21" s="22"/>
      <c r="JK21" s="22"/>
      <c r="JL21" s="22"/>
      <c r="JM21" s="22"/>
      <c r="JN21" s="22"/>
      <c r="JO21" s="22"/>
      <c r="JP21" s="22"/>
      <c r="JQ21" s="22"/>
      <c r="JR21" s="22"/>
      <c r="JS21" s="22"/>
      <c r="JT21" s="22"/>
      <c r="JU21" s="22"/>
      <c r="JV21" s="22"/>
      <c r="JW21" s="22"/>
      <c r="JX21" s="22"/>
      <c r="JY21" s="22"/>
      <c r="JZ21" s="22"/>
      <c r="KA21" s="22"/>
      <c r="KB21" s="22"/>
      <c r="KC21" s="22"/>
      <c r="KD21" s="22"/>
      <c r="KE21" s="22"/>
      <c r="KF21" s="22"/>
      <c r="KG21" s="22"/>
      <c r="KH21" s="22"/>
      <c r="KI21" s="22"/>
      <c r="KJ21" s="22"/>
      <c r="KK21" s="22"/>
      <c r="KL21" s="22"/>
      <c r="KM21" s="22"/>
      <c r="KN21" s="22"/>
      <c r="KO21" s="22"/>
      <c r="KP21" s="22"/>
      <c r="KQ21" s="22"/>
      <c r="KR21" s="22"/>
      <c r="KS21" s="22"/>
      <c r="KT21" s="22"/>
      <c r="KU21" s="22"/>
      <c r="KV21" s="22"/>
      <c r="KW21" s="22"/>
      <c r="KX21" s="22"/>
      <c r="KY21" s="22"/>
      <c r="KZ21" s="22"/>
      <c r="LA21" s="22"/>
      <c r="LB21" s="22"/>
      <c r="LC21" s="22"/>
      <c r="LD21" s="22"/>
      <c r="LE21" s="22"/>
      <c r="LF21" s="22"/>
      <c r="LG21" s="22"/>
      <c r="LH21" s="22"/>
      <c r="LI21" s="22"/>
      <c r="LJ21" s="22"/>
      <c r="LK21" s="22"/>
      <c r="LL21" s="22"/>
      <c r="LM21" s="22"/>
      <c r="LN21" s="22"/>
      <c r="LO21" s="22"/>
      <c r="LP21" s="22"/>
      <c r="LQ21" s="22"/>
      <c r="LR21" s="22"/>
      <c r="LS21" s="22"/>
      <c r="LT21" s="22"/>
      <c r="LU21" s="22"/>
      <c r="LV21" s="22"/>
      <c r="LW21" s="22"/>
      <c r="LX21" s="22"/>
      <c r="LY21" s="22"/>
      <c r="LZ21" s="22"/>
      <c r="MA21" s="22"/>
      <c r="MB21" s="22"/>
      <c r="MC21" s="22"/>
      <c r="MD21" s="22"/>
      <c r="ME21" s="22"/>
      <c r="MF21" s="22"/>
      <c r="MG21" s="22"/>
      <c r="MH21" s="22"/>
      <c r="MI21" s="22"/>
      <c r="MJ21" s="22"/>
      <c r="MK21" s="22"/>
      <c r="ML21" s="22"/>
      <c r="MM21" s="22"/>
      <c r="MN21" s="22"/>
      <c r="MO21" s="22"/>
      <c r="MP21" s="22"/>
      <c r="MQ21" s="22"/>
      <c r="MR21" s="22"/>
      <c r="MS21" s="22"/>
      <c r="MT21" s="22"/>
      <c r="MU21" s="22"/>
      <c r="MV21" s="22"/>
      <c r="MW21" s="22"/>
      <c r="MX21" s="22"/>
      <c r="MY21" s="22"/>
      <c r="MZ21" s="22"/>
      <c r="NA21" s="22"/>
      <c r="NB21" s="22"/>
      <c r="NC21" s="22"/>
      <c r="ND21" s="22"/>
      <c r="NE21" s="22"/>
      <c r="NF21" s="22"/>
      <c r="NG21" s="22"/>
      <c r="NH21" s="22"/>
      <c r="NI21" s="22"/>
      <c r="NJ21" s="22"/>
      <c r="NK21" s="22"/>
      <c r="NL21" s="22"/>
      <c r="NM21" s="22"/>
      <c r="NN21" s="22"/>
      <c r="NO21" s="22"/>
      <c r="NP21" s="22"/>
      <c r="NQ21" s="22"/>
      <c r="NR21" s="22"/>
      <c r="NS21" s="22"/>
      <c r="NT21" s="22"/>
      <c r="NU21" s="22"/>
      <c r="NV21" s="22"/>
      <c r="NW21" s="22"/>
      <c r="NX21" s="22"/>
      <c r="NY21" s="22"/>
      <c r="NZ21" s="22"/>
      <c r="OA21" s="22"/>
      <c r="OB21" s="22"/>
      <c r="OC21" s="22"/>
      <c r="OD21" s="22"/>
      <c r="OE21" s="22"/>
      <c r="OF21" s="22"/>
      <c r="OG21" s="22"/>
      <c r="OH21" s="22"/>
      <c r="OI21" s="22"/>
      <c r="OJ21" s="22"/>
      <c r="OK21" s="22"/>
      <c r="OL21" s="22"/>
      <c r="OM21" s="22"/>
      <c r="ON21" s="22"/>
      <c r="OO21" s="22"/>
      <c r="OP21" s="22"/>
      <c r="OQ21" s="22"/>
      <c r="OR21" s="22"/>
      <c r="OS21" s="22"/>
      <c r="OT21" s="22"/>
      <c r="OU21" s="22"/>
      <c r="OV21" s="22"/>
      <c r="OW21" s="22"/>
      <c r="OX21" s="22"/>
      <c r="OY21" s="22"/>
      <c r="OZ21" s="22"/>
      <c r="PA21" s="22"/>
      <c r="PB21" s="22"/>
      <c r="PC21" s="22"/>
      <c r="PD21" s="22"/>
      <c r="PE21" s="22"/>
      <c r="PF21" s="22"/>
      <c r="PG21" s="22"/>
      <c r="PH21" s="22"/>
      <c r="PI21" s="22"/>
      <c r="PJ21" s="22"/>
      <c r="PK21" s="22"/>
      <c r="PL21" s="22"/>
      <c r="PM21" s="22"/>
      <c r="PN21" s="22"/>
      <c r="PO21" s="22"/>
      <c r="PP21" s="22"/>
      <c r="PQ21" s="22"/>
      <c r="PR21" s="22"/>
      <c r="PS21" s="22"/>
      <c r="PT21" s="22"/>
      <c r="PU21" s="22"/>
      <c r="PV21" s="22"/>
      <c r="PW21" s="22"/>
      <c r="PX21" s="22"/>
      <c r="PY21" s="22"/>
      <c r="PZ21" s="22"/>
      <c r="QA21" s="22"/>
      <c r="QB21" s="22"/>
      <c r="QC21" s="22"/>
      <c r="QD21" s="22"/>
      <c r="QE21" s="22"/>
      <c r="QF21" s="22"/>
      <c r="QG21" s="22"/>
      <c r="QH21" s="22"/>
      <c r="QI21" s="22"/>
      <c r="QJ21" s="22"/>
      <c r="QK21" s="22"/>
      <c r="QL21" s="22"/>
      <c r="QM21" s="22"/>
      <c r="QN21" s="22"/>
      <c r="QO21" s="22"/>
      <c r="QP21" s="22"/>
      <c r="QQ21" s="22"/>
      <c r="QR21" s="22"/>
      <c r="QS21" s="22"/>
      <c r="QT21" s="22"/>
      <c r="QU21" s="22"/>
      <c r="QV21" s="22"/>
      <c r="QW21" s="22"/>
      <c r="QX21" s="22"/>
      <c r="QY21" s="22"/>
      <c r="QZ21" s="22"/>
      <c r="RA21" s="22"/>
      <c r="RB21" s="22"/>
      <c r="RC21" s="22"/>
      <c r="RD21" s="22"/>
      <c r="RE21" s="22"/>
      <c r="RF21" s="22"/>
      <c r="RG21" s="22"/>
      <c r="RH21" s="22"/>
      <c r="RI21" s="22"/>
      <c r="RJ21" s="22"/>
      <c r="RK21" s="22"/>
      <c r="RL21" s="22"/>
      <c r="RM21" s="22"/>
      <c r="RN21" s="22"/>
      <c r="RO21" s="22"/>
      <c r="RP21" s="22"/>
      <c r="RQ21" s="22"/>
      <c r="RR21" s="22"/>
      <c r="RS21" s="22"/>
      <c r="RT21" s="22"/>
      <c r="RU21" s="22"/>
      <c r="RV21" s="22"/>
      <c r="RW21" s="22"/>
      <c r="RX21" s="22"/>
      <c r="RY21" s="22"/>
      <c r="RZ21" s="22"/>
      <c r="SA21" s="22"/>
      <c r="SB21" s="22"/>
      <c r="SC21" s="22"/>
      <c r="SD21" s="22"/>
      <c r="SE21" s="22"/>
      <c r="SF21" s="22"/>
      <c r="SG21" s="22"/>
      <c r="SH21" s="22"/>
      <c r="SI21" s="22"/>
      <c r="SJ21" s="22"/>
      <c r="SK21" s="22"/>
      <c r="SL21" s="22"/>
      <c r="SM21" s="22"/>
      <c r="SN21" s="22"/>
      <c r="SO21" s="22"/>
      <c r="SP21" s="22"/>
      <c r="SQ21" s="22"/>
      <c r="SR21" s="22"/>
      <c r="SS21" s="22"/>
      <c r="ST21" s="22"/>
      <c r="SU21" s="22"/>
      <c r="SV21" s="22"/>
      <c r="SW21" s="22"/>
      <c r="SX21" s="22"/>
      <c r="SY21" s="22"/>
      <c r="SZ21" s="22"/>
      <c r="TA21" s="22"/>
      <c r="TB21" s="22"/>
      <c r="TC21" s="22"/>
      <c r="TD21" s="22"/>
      <c r="TE21" s="22"/>
      <c r="TF21" s="22"/>
      <c r="TG21" s="22"/>
      <c r="TH21" s="22"/>
      <c r="TI21" s="22"/>
      <c r="TJ21" s="22"/>
      <c r="TK21" s="22"/>
      <c r="TL21" s="22"/>
      <c r="TM21" s="22"/>
      <c r="TN21" s="22"/>
      <c r="TO21" s="22"/>
      <c r="TP21" s="22"/>
      <c r="TQ21" s="22"/>
      <c r="TR21" s="22"/>
      <c r="TS21" s="22"/>
      <c r="TT21" s="22"/>
      <c r="TU21" s="22"/>
      <c r="TV21" s="22"/>
      <c r="TW21" s="22"/>
      <c r="TX21" s="22"/>
      <c r="TY21" s="22"/>
      <c r="TZ21" s="22"/>
      <c r="UA21" s="22"/>
      <c r="UB21" s="22"/>
      <c r="UC21" s="22"/>
      <c r="UD21" s="22"/>
      <c r="UE21" s="22"/>
      <c r="UF21" s="22"/>
      <c r="UG21" s="22"/>
      <c r="UH21" s="22"/>
      <c r="UI21" s="22"/>
      <c r="UJ21" s="22"/>
      <c r="UK21" s="22"/>
      <c r="UL21" s="22"/>
      <c r="UM21" s="22"/>
      <c r="UN21" s="22"/>
      <c r="UO21" s="22"/>
      <c r="UP21" s="22"/>
      <c r="UQ21" s="22"/>
      <c r="UR21" s="22"/>
      <c r="US21" s="22"/>
      <c r="UT21" s="22"/>
      <c r="UU21" s="22"/>
      <c r="UV21" s="22"/>
      <c r="UW21" s="22"/>
      <c r="UX21" s="22"/>
      <c r="UY21" s="22"/>
      <c r="UZ21" s="22"/>
      <c r="VA21" s="22"/>
      <c r="VB21" s="22"/>
      <c r="VC21" s="22"/>
      <c r="VD21" s="22"/>
      <c r="VE21" s="22"/>
      <c r="VF21" s="22"/>
      <c r="VG21" s="22"/>
      <c r="VH21" s="22"/>
      <c r="VI21" s="22"/>
      <c r="VJ21" s="22"/>
      <c r="VK21" s="22"/>
      <c r="VL21" s="22"/>
      <c r="VM21" s="22"/>
      <c r="VN21" s="22"/>
      <c r="VO21" s="22"/>
      <c r="VP21" s="22"/>
      <c r="VQ21" s="22"/>
      <c r="VR21" s="22"/>
      <c r="VS21" s="22"/>
      <c r="VT21" s="22"/>
      <c r="VU21" s="22"/>
      <c r="VV21" s="22"/>
      <c r="VW21" s="22"/>
      <c r="VX21" s="22"/>
      <c r="VY21" s="22"/>
      <c r="VZ21" s="22"/>
      <c r="WA21" s="22"/>
      <c r="WB21" s="22"/>
      <c r="WC21" s="22"/>
      <c r="WD21" s="22"/>
      <c r="WE21" s="22"/>
      <c r="WF21" s="22"/>
      <c r="WG21" s="22"/>
      <c r="WH21" s="22"/>
      <c r="WI21" s="22"/>
      <c r="WJ21" s="22"/>
      <c r="WK21" s="22"/>
      <c r="WL21" s="22"/>
      <c r="WM21" s="22"/>
      <c r="WN21" s="22"/>
      <c r="WO21" s="22"/>
      <c r="WP21" s="22"/>
      <c r="WQ21" s="22"/>
      <c r="WR21" s="22"/>
      <c r="WS21" s="22"/>
      <c r="WT21" s="22"/>
      <c r="WU21" s="22"/>
      <c r="WV21" s="22"/>
      <c r="WW21" s="22"/>
      <c r="WX21" s="22"/>
      <c r="WY21" s="22"/>
      <c r="WZ21" s="22"/>
      <c r="XA21" s="22"/>
      <c r="XB21" s="22"/>
      <c r="XC21" s="22"/>
      <c r="XD21" s="22"/>
      <c r="XE21" s="22"/>
      <c r="XF21" s="22"/>
      <c r="XG21" s="22"/>
      <c r="XH21" s="22"/>
      <c r="XI21" s="22"/>
      <c r="XJ21" s="22"/>
      <c r="XK21" s="22"/>
      <c r="XL21" s="22"/>
      <c r="XM21" s="22"/>
      <c r="XN21" s="22"/>
      <c r="XO21" s="22"/>
      <c r="XP21" s="22"/>
      <c r="XQ21" s="22"/>
      <c r="XR21" s="22"/>
      <c r="XS21" s="22"/>
      <c r="XT21" s="22"/>
      <c r="XU21" s="22"/>
      <c r="XV21" s="22"/>
      <c r="XW21" s="22"/>
      <c r="XX21" s="22"/>
      <c r="XY21" s="22"/>
      <c r="XZ21" s="22"/>
      <c r="YA21" s="22"/>
      <c r="YB21" s="22"/>
      <c r="YC21" s="22"/>
      <c r="YD21" s="22"/>
      <c r="YE21" s="22"/>
      <c r="YF21" s="22"/>
      <c r="YG21" s="22"/>
      <c r="YH21" s="22"/>
      <c r="YI21" s="22"/>
      <c r="YJ21" s="22"/>
      <c r="YK21" s="22"/>
      <c r="YL21" s="22"/>
      <c r="YM21" s="22"/>
      <c r="YN21" s="22"/>
      <c r="YO21" s="22"/>
      <c r="YP21" s="22"/>
      <c r="YQ21" s="22"/>
      <c r="YR21" s="22"/>
      <c r="YS21" s="22"/>
      <c r="YT21" s="22"/>
      <c r="YU21" s="22"/>
      <c r="YV21" s="22"/>
      <c r="YW21" s="22"/>
      <c r="YX21" s="22"/>
      <c r="YY21" s="22"/>
      <c r="YZ21" s="22"/>
      <c r="ZA21" s="22"/>
      <c r="ZB21" s="22"/>
      <c r="ZC21" s="22"/>
      <c r="ZD21" s="22"/>
      <c r="ZE21" s="22"/>
      <c r="ZF21" s="22"/>
      <c r="ZG21" s="22"/>
      <c r="ZH21" s="22"/>
      <c r="ZI21" s="22"/>
      <c r="ZJ21" s="22"/>
      <c r="ZK21" s="22"/>
      <c r="ZL21" s="22"/>
      <c r="ZM21" s="22"/>
      <c r="ZN21" s="22"/>
      <c r="ZO21" s="22"/>
      <c r="ZP21" s="22"/>
      <c r="ZQ21" s="22"/>
      <c r="ZR21" s="22"/>
      <c r="ZS21" s="22"/>
      <c r="ZT21" s="22"/>
      <c r="ZU21" s="22"/>
      <c r="ZV21" s="22"/>
      <c r="ZW21" s="22"/>
      <c r="ZX21" s="22"/>
      <c r="ZY21" s="22"/>
      <c r="ZZ21" s="22"/>
      <c r="AAA21" s="22"/>
      <c r="AAB21" s="22"/>
      <c r="AAC21" s="22"/>
      <c r="AAD21" s="22"/>
      <c r="AAE21" s="22"/>
      <c r="AAF21" s="22"/>
      <c r="AAG21" s="22"/>
      <c r="AAH21" s="22"/>
      <c r="AAI21" s="22"/>
      <c r="AAJ21" s="22"/>
      <c r="AAK21" s="22"/>
      <c r="AAL21" s="22"/>
      <c r="AAM21" s="22"/>
      <c r="AAN21" s="22"/>
      <c r="AAO21" s="22"/>
      <c r="AAP21" s="22"/>
      <c r="AAQ21" s="22"/>
      <c r="AAR21" s="22"/>
      <c r="AAS21" s="22"/>
      <c r="AAT21" s="22"/>
      <c r="AAU21" s="22"/>
      <c r="AAV21" s="22"/>
      <c r="AAW21" s="22"/>
      <c r="AAX21" s="22"/>
      <c r="AAY21" s="22"/>
      <c r="AAZ21" s="22"/>
      <c r="ABA21" s="22"/>
      <c r="ABB21" s="22"/>
      <c r="ABC21" s="22"/>
    </row>
    <row r="22" spans="1:731" ht="15" customHeight="1" x14ac:dyDescent="0.3">
      <c r="A22" s="422"/>
      <c r="B22" s="435"/>
      <c r="C22" s="297"/>
      <c r="D22" s="9" t="s">
        <v>11</v>
      </c>
      <c r="E22" s="372" t="s">
        <v>55</v>
      </c>
      <c r="F22" s="11">
        <f t="shared" si="23"/>
        <v>29.340068378407636</v>
      </c>
      <c r="G22" s="16">
        <f t="shared" si="23"/>
        <v>109.0896582138018</v>
      </c>
      <c r="H22" s="31">
        <f t="shared" si="15"/>
        <v>-79.749589835394161</v>
      </c>
      <c r="I22" s="14">
        <f>IFERROR(IF(G22&lt;0,-(F22-G22)/G22,(F22-G22)/G22),"")</f>
        <v>-0.73104628927423299</v>
      </c>
      <c r="J22" s="15">
        <f>8758925.66666667/1000</f>
        <v>8758.9256666666697</v>
      </c>
      <c r="K22" s="16">
        <f>32566666/1000</f>
        <v>32566.666000000001</v>
      </c>
      <c r="L22" s="31">
        <f t="shared" si="16"/>
        <v>-23807.740333333331</v>
      </c>
      <c r="M22" s="14">
        <f>IFERROR(IF(K22&lt;0,-(J22-K22)/K22,(J22-K22)/K22),"")</f>
        <v>-0.7310462892742331</v>
      </c>
      <c r="N22" s="15">
        <f>6111190.19666667/1000</f>
        <v>6111.1901966666701</v>
      </c>
      <c r="O22" s="16">
        <f>25221666.3333333/1000</f>
        <v>25221.666333333298</v>
      </c>
      <c r="P22" s="31">
        <f t="shared" si="17"/>
        <v>-19110.476136666628</v>
      </c>
      <c r="Q22" s="14">
        <f>IFERROR(IF(O22&lt;0,-(N22-O22)/O22,(N22-O22)/O22),"")</f>
        <v>-0.75770077536114111</v>
      </c>
      <c r="R22" s="15">
        <f>51933.03/1000</f>
        <v>51.933030000000002</v>
      </c>
      <c r="S22" s="16">
        <v>0</v>
      </c>
      <c r="T22" s="31">
        <f t="shared" si="18"/>
        <v>51.933030000000002</v>
      </c>
      <c r="U22" s="14">
        <v>0</v>
      </c>
      <c r="V22" s="15">
        <f>8879673/1000</f>
        <v>8879.6730000000007</v>
      </c>
      <c r="W22" s="16">
        <f>10088773.8045644/1000</f>
        <v>10088.7738045644</v>
      </c>
      <c r="X22" s="31">
        <f t="shared" si="19"/>
        <v>-1209.1008045643994</v>
      </c>
      <c r="Y22" s="14">
        <f>IFERROR(IF(W22&lt;0,-(V22-W22)/W22,(V22-W22)/W22),"")</f>
        <v>-0.11984616049349561</v>
      </c>
      <c r="Z22" s="15">
        <f>-2716549.77333333/1000</f>
        <v>-2716.54977333333</v>
      </c>
      <c r="AA22" s="16">
        <f>15132892.5287689/1000</f>
        <v>15132.892528768902</v>
      </c>
      <c r="AB22" s="31">
        <f t="shared" si="20"/>
        <v>-17849.44230210223</v>
      </c>
      <c r="AC22" s="19">
        <f>IFERROR(IF(AA22&lt;0,-(Z22-AA22)/AA22,(Z22-AA22)/AA22),"")</f>
        <v>-1.1795129231354111</v>
      </c>
      <c r="AD22" s="137">
        <f>0</f>
        <v>0</v>
      </c>
      <c r="AE22" s="138"/>
      <c r="AF22" s="108">
        <f>AD22-AE22</f>
        <v>0</v>
      </c>
      <c r="AG22" s="110" t="str">
        <f>IFERROR(IF(AE22&lt;0,-(AD22-AE22)/AE22,(AD22-AE22)/AE22),"")</f>
        <v/>
      </c>
      <c r="AH22" s="143"/>
      <c r="AI22" s="127"/>
      <c r="AJ22" s="108">
        <f>AH22-AI22</f>
        <v>0</v>
      </c>
      <c r="AK22" s="20" t="str">
        <f>IFERROR(IF(AI22&lt;0,-(AH22-AI22)/AI22,(AH22-AI22)/AI22),"")</f>
        <v/>
      </c>
      <c r="AL22" s="144">
        <f>-2716549.77333333/1000</f>
        <v>-2716.54977333333</v>
      </c>
      <c r="AM22" s="133">
        <f>AA22</f>
        <v>15132.892528768902</v>
      </c>
      <c r="AN22" s="13">
        <f>AL22-AM22</f>
        <v>-17849.44230210223</v>
      </c>
      <c r="AO22" s="244">
        <f>IFERROR(IF(AM22&lt;0,-(AL22-AM22)/AM22,(AL22-AM22)/AM22),"")</f>
        <v>-1.1795129231354111</v>
      </c>
      <c r="AQ22" s="22"/>
      <c r="AR22" s="1">
        <f>(N22+R22-V22)-Z22</f>
        <v>0</v>
      </c>
      <c r="AS22" s="1">
        <f>(O22+S22-W22)-AA22</f>
        <v>0</v>
      </c>
      <c r="AT22" s="1">
        <f>(Z22-AD22+AH22)-AL22</f>
        <v>0</v>
      </c>
      <c r="AU22" s="1">
        <f>(AA22-AE22+AI22)-AM22</f>
        <v>0</v>
      </c>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c r="IS22" s="22"/>
      <c r="IT22" s="22"/>
      <c r="IU22" s="22"/>
      <c r="IV22" s="22"/>
      <c r="IW22" s="22"/>
      <c r="IX22" s="22"/>
      <c r="IY22" s="22"/>
      <c r="IZ22" s="22"/>
      <c r="JA22" s="22"/>
      <c r="JB22" s="22"/>
      <c r="JC22" s="22"/>
      <c r="JD22" s="22"/>
      <c r="JE22" s="22"/>
      <c r="JJ22" s="22"/>
      <c r="JK22" s="22"/>
      <c r="JL22" s="22"/>
      <c r="JM22" s="22"/>
      <c r="JN22" s="22"/>
      <c r="JO22" s="22"/>
      <c r="JP22" s="22"/>
      <c r="JQ22" s="22"/>
      <c r="JR22" s="22"/>
      <c r="JS22" s="22"/>
      <c r="JT22" s="22"/>
      <c r="JU22" s="22"/>
      <c r="JV22" s="22"/>
      <c r="JW22" s="22"/>
      <c r="JX22" s="22"/>
      <c r="JY22" s="22"/>
      <c r="JZ22" s="22"/>
      <c r="KA22" s="22"/>
      <c r="KB22" s="22"/>
      <c r="KC22" s="22"/>
      <c r="KD22" s="22"/>
      <c r="KE22" s="22"/>
      <c r="KF22" s="22"/>
      <c r="KG22" s="22"/>
      <c r="KH22" s="22"/>
      <c r="KI22" s="22"/>
      <c r="KJ22" s="22"/>
      <c r="KK22" s="22"/>
      <c r="KL22" s="22"/>
      <c r="KM22" s="22"/>
      <c r="KN22" s="22"/>
      <c r="KO22" s="22"/>
      <c r="KP22" s="22"/>
      <c r="KQ22" s="22"/>
      <c r="KR22" s="22"/>
      <c r="KS22" s="22"/>
      <c r="KT22" s="22"/>
      <c r="KU22" s="22"/>
      <c r="KV22" s="22"/>
      <c r="KW22" s="22"/>
      <c r="KX22" s="22"/>
      <c r="KY22" s="22"/>
      <c r="KZ22" s="22"/>
      <c r="LA22" s="22"/>
      <c r="LB22" s="22"/>
      <c r="LC22" s="22"/>
      <c r="LD22" s="22"/>
      <c r="LE22" s="22"/>
      <c r="LF22" s="22"/>
      <c r="LG22" s="22"/>
      <c r="LH22" s="22"/>
      <c r="LI22" s="22"/>
      <c r="LJ22" s="22"/>
      <c r="LK22" s="22"/>
      <c r="LL22" s="22"/>
      <c r="LM22" s="22"/>
      <c r="LN22" s="22"/>
      <c r="LO22" s="22"/>
      <c r="LP22" s="22"/>
      <c r="LQ22" s="22"/>
      <c r="LR22" s="22"/>
      <c r="LS22" s="22"/>
      <c r="LT22" s="22"/>
      <c r="LU22" s="22"/>
      <c r="LV22" s="22"/>
      <c r="LW22" s="22"/>
      <c r="LX22" s="22"/>
      <c r="LY22" s="22"/>
      <c r="LZ22" s="22"/>
      <c r="MA22" s="22"/>
      <c r="MB22" s="22"/>
      <c r="MC22" s="22"/>
      <c r="MD22" s="22"/>
      <c r="ME22" s="22"/>
      <c r="MF22" s="22"/>
      <c r="MG22" s="22"/>
      <c r="MH22" s="22"/>
      <c r="MI22" s="22"/>
      <c r="MJ22" s="22"/>
      <c r="MK22" s="22"/>
      <c r="ML22" s="22"/>
      <c r="MM22" s="22"/>
      <c r="MN22" s="22"/>
      <c r="MO22" s="22"/>
      <c r="MP22" s="22"/>
      <c r="MQ22" s="22"/>
      <c r="MR22" s="22"/>
      <c r="MS22" s="22"/>
      <c r="MT22" s="22"/>
      <c r="MU22" s="22"/>
      <c r="MV22" s="22"/>
      <c r="MW22" s="22"/>
      <c r="MX22" s="22"/>
      <c r="MY22" s="22"/>
      <c r="MZ22" s="22"/>
      <c r="NA22" s="22"/>
      <c r="NB22" s="22"/>
      <c r="NC22" s="22"/>
      <c r="ND22" s="22"/>
      <c r="NE22" s="22"/>
      <c r="NF22" s="22"/>
      <c r="NG22" s="22"/>
      <c r="NH22" s="22"/>
      <c r="NI22" s="22"/>
      <c r="NJ22" s="22"/>
      <c r="NK22" s="22"/>
      <c r="NL22" s="22"/>
      <c r="NM22" s="22"/>
      <c r="NN22" s="22"/>
      <c r="NO22" s="22"/>
      <c r="NP22" s="22"/>
      <c r="NQ22" s="22"/>
      <c r="NR22" s="22"/>
      <c r="NS22" s="22"/>
      <c r="NT22" s="22"/>
      <c r="NU22" s="22"/>
      <c r="NV22" s="22"/>
      <c r="NW22" s="22"/>
      <c r="NX22" s="22"/>
      <c r="NY22" s="22"/>
      <c r="NZ22" s="22"/>
      <c r="OA22" s="22"/>
      <c r="OB22" s="22"/>
      <c r="OC22" s="22"/>
      <c r="OD22" s="22"/>
      <c r="OE22" s="22"/>
      <c r="OF22" s="22"/>
      <c r="OG22" s="22"/>
      <c r="OH22" s="22"/>
      <c r="OI22" s="22"/>
      <c r="OJ22" s="22"/>
      <c r="OK22" s="22"/>
      <c r="OL22" s="22"/>
      <c r="OM22" s="22"/>
      <c r="ON22" s="22"/>
      <c r="OO22" s="22"/>
      <c r="OP22" s="22"/>
      <c r="OQ22" s="22"/>
      <c r="OR22" s="22"/>
      <c r="OS22" s="22"/>
      <c r="OT22" s="22"/>
      <c r="OU22" s="22"/>
      <c r="OV22" s="22"/>
      <c r="OW22" s="22"/>
      <c r="OX22" s="22"/>
      <c r="OY22" s="22"/>
      <c r="OZ22" s="22"/>
      <c r="PA22" s="22"/>
      <c r="PB22" s="22"/>
      <c r="PC22" s="22"/>
      <c r="PD22" s="22"/>
      <c r="PE22" s="22"/>
      <c r="PF22" s="22"/>
      <c r="PG22" s="22"/>
      <c r="PH22" s="22"/>
      <c r="PI22" s="22"/>
      <c r="PJ22" s="22"/>
      <c r="PK22" s="22"/>
      <c r="PL22" s="22"/>
      <c r="PM22" s="22"/>
      <c r="PN22" s="22"/>
      <c r="PO22" s="22"/>
      <c r="PP22" s="22"/>
      <c r="PQ22" s="22"/>
      <c r="PR22" s="22"/>
      <c r="PS22" s="22"/>
      <c r="PT22" s="22"/>
      <c r="PU22" s="22"/>
      <c r="PV22" s="22"/>
      <c r="PW22" s="22"/>
      <c r="PX22" s="22"/>
      <c r="PY22" s="22"/>
      <c r="PZ22" s="22"/>
      <c r="QA22" s="22"/>
      <c r="QB22" s="22"/>
      <c r="QC22" s="22"/>
      <c r="QD22" s="22"/>
      <c r="QE22" s="22"/>
      <c r="QF22" s="22"/>
      <c r="QG22" s="22"/>
      <c r="QH22" s="22"/>
      <c r="QI22" s="22"/>
      <c r="QJ22" s="22"/>
      <c r="QK22" s="22"/>
      <c r="QL22" s="22"/>
      <c r="QM22" s="22"/>
      <c r="QN22" s="22"/>
      <c r="QO22" s="22"/>
      <c r="QP22" s="22"/>
      <c r="QQ22" s="22"/>
      <c r="QR22" s="22"/>
      <c r="QS22" s="22"/>
      <c r="QT22" s="22"/>
      <c r="QU22" s="22"/>
      <c r="QV22" s="22"/>
      <c r="QW22" s="22"/>
      <c r="QX22" s="22"/>
      <c r="QY22" s="22"/>
      <c r="QZ22" s="22"/>
      <c r="RA22" s="22"/>
      <c r="RB22" s="22"/>
      <c r="RC22" s="22"/>
      <c r="RD22" s="22"/>
      <c r="RE22" s="22"/>
      <c r="RF22" s="22"/>
      <c r="RG22" s="22"/>
      <c r="RH22" s="22"/>
      <c r="RI22" s="22"/>
      <c r="RJ22" s="22"/>
      <c r="RK22" s="22"/>
      <c r="RL22" s="22"/>
      <c r="RM22" s="22"/>
      <c r="RN22" s="22"/>
      <c r="RO22" s="22"/>
      <c r="RP22" s="22"/>
      <c r="RQ22" s="22"/>
      <c r="RR22" s="22"/>
      <c r="RS22" s="22"/>
      <c r="RT22" s="22"/>
      <c r="RU22" s="22"/>
      <c r="RV22" s="22"/>
      <c r="RW22" s="22"/>
      <c r="RX22" s="22"/>
      <c r="RY22" s="22"/>
      <c r="RZ22" s="22"/>
      <c r="SA22" s="22"/>
      <c r="SB22" s="22"/>
      <c r="SC22" s="22"/>
      <c r="SD22" s="22"/>
      <c r="SE22" s="22"/>
      <c r="SF22" s="22"/>
      <c r="SG22" s="22"/>
      <c r="SH22" s="22"/>
      <c r="SI22" s="22"/>
      <c r="SJ22" s="22"/>
      <c r="SK22" s="22"/>
      <c r="SL22" s="22"/>
      <c r="SM22" s="22"/>
      <c r="SN22" s="22"/>
      <c r="SO22" s="22"/>
      <c r="SP22" s="22"/>
      <c r="SQ22" s="22"/>
      <c r="SR22" s="22"/>
      <c r="SS22" s="22"/>
      <c r="ST22" s="22"/>
      <c r="SU22" s="22"/>
      <c r="SV22" s="22"/>
      <c r="SW22" s="22"/>
      <c r="SX22" s="22"/>
      <c r="SY22" s="22"/>
      <c r="SZ22" s="22"/>
      <c r="TA22" s="22"/>
      <c r="TB22" s="22"/>
      <c r="TC22" s="22"/>
      <c r="TD22" s="22"/>
      <c r="TE22" s="22"/>
      <c r="TF22" s="22"/>
      <c r="TG22" s="22"/>
      <c r="TH22" s="22"/>
      <c r="TI22" s="22"/>
      <c r="TJ22" s="22"/>
      <c r="TK22" s="22"/>
      <c r="TL22" s="22"/>
      <c r="TM22" s="22"/>
      <c r="TN22" s="22"/>
      <c r="TO22" s="22"/>
      <c r="TP22" s="22"/>
      <c r="TQ22" s="22"/>
      <c r="TR22" s="22"/>
      <c r="TS22" s="22"/>
      <c r="TT22" s="22"/>
      <c r="TU22" s="22"/>
      <c r="TV22" s="22"/>
      <c r="TW22" s="22"/>
      <c r="TX22" s="22"/>
      <c r="TY22" s="22"/>
      <c r="TZ22" s="22"/>
      <c r="UA22" s="22"/>
      <c r="UB22" s="22"/>
      <c r="UC22" s="22"/>
      <c r="UD22" s="22"/>
      <c r="UE22" s="22"/>
      <c r="UF22" s="22"/>
      <c r="UG22" s="22"/>
      <c r="UH22" s="22"/>
      <c r="UI22" s="22"/>
      <c r="UJ22" s="22"/>
      <c r="UK22" s="22"/>
      <c r="UL22" s="22"/>
      <c r="UM22" s="22"/>
      <c r="UN22" s="22"/>
      <c r="UO22" s="22"/>
      <c r="UP22" s="22"/>
      <c r="UQ22" s="22"/>
      <c r="UR22" s="22"/>
      <c r="US22" s="22"/>
      <c r="UT22" s="22"/>
      <c r="UU22" s="22"/>
      <c r="UV22" s="22"/>
      <c r="UW22" s="22"/>
      <c r="UX22" s="22"/>
      <c r="UY22" s="22"/>
      <c r="UZ22" s="22"/>
      <c r="VA22" s="22"/>
      <c r="VB22" s="22"/>
      <c r="VC22" s="22"/>
      <c r="VD22" s="22"/>
      <c r="VE22" s="22"/>
      <c r="VF22" s="22"/>
      <c r="VG22" s="22"/>
      <c r="VH22" s="22"/>
      <c r="VI22" s="22"/>
      <c r="VJ22" s="22"/>
      <c r="VK22" s="22"/>
      <c r="VL22" s="22"/>
      <c r="VM22" s="22"/>
      <c r="VN22" s="22"/>
      <c r="VO22" s="22"/>
      <c r="VP22" s="22"/>
      <c r="VQ22" s="22"/>
      <c r="VR22" s="22"/>
      <c r="VS22" s="22"/>
      <c r="VT22" s="22"/>
      <c r="VU22" s="22"/>
      <c r="VV22" s="22"/>
      <c r="VW22" s="22"/>
      <c r="VX22" s="22"/>
      <c r="VY22" s="22"/>
      <c r="VZ22" s="22"/>
      <c r="WA22" s="22"/>
      <c r="WB22" s="22"/>
      <c r="WC22" s="22"/>
      <c r="WD22" s="22"/>
      <c r="WE22" s="22"/>
      <c r="WF22" s="22"/>
      <c r="WG22" s="22"/>
      <c r="WH22" s="22"/>
      <c r="WI22" s="22"/>
      <c r="WJ22" s="22"/>
      <c r="WK22" s="22"/>
      <c r="WL22" s="22"/>
      <c r="WM22" s="22"/>
      <c r="WN22" s="22"/>
      <c r="WO22" s="22"/>
      <c r="WP22" s="22"/>
      <c r="WQ22" s="22"/>
      <c r="WR22" s="22"/>
      <c r="WS22" s="22"/>
      <c r="WT22" s="22"/>
      <c r="WU22" s="22"/>
      <c r="WV22" s="22"/>
      <c r="WW22" s="22"/>
      <c r="WX22" s="22"/>
      <c r="WY22" s="22"/>
      <c r="WZ22" s="22"/>
      <c r="XA22" s="22"/>
      <c r="XB22" s="22"/>
      <c r="XC22" s="22"/>
      <c r="XD22" s="22"/>
      <c r="XE22" s="22"/>
      <c r="XF22" s="22"/>
      <c r="XG22" s="22"/>
      <c r="XH22" s="22"/>
      <c r="XI22" s="22"/>
      <c r="XJ22" s="22"/>
      <c r="XK22" s="22"/>
      <c r="XL22" s="22"/>
      <c r="XM22" s="22"/>
      <c r="XN22" s="22"/>
      <c r="XO22" s="22"/>
      <c r="XP22" s="22"/>
      <c r="XQ22" s="22"/>
      <c r="XR22" s="22"/>
      <c r="XS22" s="22"/>
      <c r="XT22" s="22"/>
      <c r="XU22" s="22"/>
      <c r="XV22" s="22"/>
      <c r="XW22" s="22"/>
      <c r="XX22" s="22"/>
      <c r="XY22" s="22"/>
      <c r="XZ22" s="22"/>
      <c r="YA22" s="22"/>
      <c r="YB22" s="22"/>
      <c r="YC22" s="22"/>
      <c r="YD22" s="22"/>
      <c r="YE22" s="22"/>
      <c r="YF22" s="22"/>
      <c r="YG22" s="22"/>
      <c r="YH22" s="22"/>
      <c r="YI22" s="22"/>
      <c r="YJ22" s="22"/>
      <c r="YK22" s="22"/>
      <c r="YL22" s="22"/>
      <c r="YM22" s="22"/>
      <c r="YN22" s="22"/>
      <c r="YO22" s="22"/>
      <c r="YP22" s="22"/>
      <c r="YQ22" s="22"/>
      <c r="YR22" s="22"/>
      <c r="YS22" s="22"/>
      <c r="YT22" s="22"/>
      <c r="YU22" s="22"/>
      <c r="YV22" s="22"/>
      <c r="YW22" s="22"/>
      <c r="YX22" s="22"/>
      <c r="YY22" s="22"/>
      <c r="YZ22" s="22"/>
      <c r="ZA22" s="22"/>
      <c r="ZB22" s="22"/>
      <c r="ZC22" s="22"/>
      <c r="ZD22" s="22"/>
      <c r="ZE22" s="22"/>
      <c r="ZF22" s="22"/>
      <c r="ZG22" s="22"/>
      <c r="ZH22" s="22"/>
      <c r="ZI22" s="22"/>
      <c r="ZJ22" s="22"/>
      <c r="ZK22" s="22"/>
      <c r="ZL22" s="22"/>
      <c r="ZM22" s="22"/>
      <c r="ZN22" s="22"/>
      <c r="ZO22" s="22"/>
      <c r="ZP22" s="22"/>
      <c r="ZQ22" s="22"/>
      <c r="ZR22" s="22"/>
      <c r="ZS22" s="22"/>
      <c r="ZT22" s="22"/>
      <c r="ZU22" s="22"/>
      <c r="ZV22" s="22"/>
      <c r="ZW22" s="22"/>
      <c r="ZX22" s="22"/>
      <c r="ZY22" s="22"/>
      <c r="ZZ22" s="22"/>
      <c r="AAA22" s="22"/>
      <c r="AAB22" s="22"/>
      <c r="AAC22" s="22"/>
      <c r="AAD22" s="22"/>
      <c r="AAE22" s="22"/>
      <c r="AAF22" s="22"/>
      <c r="AAG22" s="22"/>
      <c r="AAH22" s="22"/>
      <c r="AAI22" s="22"/>
      <c r="AAJ22" s="22"/>
      <c r="AAK22" s="22"/>
      <c r="AAL22" s="22"/>
      <c r="AAM22" s="22"/>
      <c r="AAN22" s="22"/>
      <c r="AAO22" s="22"/>
      <c r="AAP22" s="22"/>
      <c r="AAQ22" s="22"/>
      <c r="AAR22" s="22"/>
      <c r="AAS22" s="22"/>
      <c r="AAT22" s="22"/>
      <c r="AAU22" s="22"/>
      <c r="AAV22" s="22"/>
      <c r="AAW22" s="22"/>
      <c r="AAX22" s="22"/>
      <c r="AAY22" s="22"/>
      <c r="AAZ22" s="22"/>
      <c r="ABA22" s="22"/>
      <c r="ABB22" s="22"/>
      <c r="ABC22" s="22"/>
    </row>
    <row r="23" spans="1:731" ht="15" customHeight="1" x14ac:dyDescent="0.3">
      <c r="A23" s="422"/>
      <c r="B23" s="435"/>
      <c r="C23" s="296"/>
      <c r="D23" s="9" t="s">
        <v>13</v>
      </c>
      <c r="E23" s="10" t="s">
        <v>29</v>
      </c>
      <c r="F23" s="11">
        <f t="shared" si="23"/>
        <v>113.08806448103365</v>
      </c>
      <c r="G23" s="16">
        <f t="shared" si="23"/>
        <v>123.33987418788136</v>
      </c>
      <c r="H23" s="52">
        <f t="shared" si="15"/>
        <v>-10.251809706847709</v>
      </c>
      <c r="I23" s="14">
        <f t="shared" si="1"/>
        <v>-8.3118373310737417E-2</v>
      </c>
      <c r="J23" s="15">
        <f>'[85]April 25'!$G$7</f>
        <v>33760.315000000002</v>
      </c>
      <c r="K23" s="16">
        <f>'[85]April 25'!$H$7</f>
        <v>36820.800000000003</v>
      </c>
      <c r="L23" s="52">
        <f t="shared" si="16"/>
        <v>-3060.4850000000006</v>
      </c>
      <c r="M23" s="14">
        <f t="shared" si="21"/>
        <v>-8.3118373310737417E-2</v>
      </c>
      <c r="N23" s="15">
        <f>'[85]April 25'!$O$7</f>
        <v>25128.809000000001</v>
      </c>
      <c r="O23" s="16">
        <f>'[85]April 25'!$P$7</f>
        <v>13901.3</v>
      </c>
      <c r="P23" s="52">
        <v>-1207.7361313687845</v>
      </c>
      <c r="Q23" s="14">
        <f t="shared" si="2"/>
        <v>0.80765892398552674</v>
      </c>
      <c r="R23" s="15">
        <f>'[85]April 25'!$W$7</f>
        <v>86.908000000000001</v>
      </c>
      <c r="S23" s="16">
        <f>'[85]April 25'!$X$7</f>
        <v>213.77982434792136</v>
      </c>
      <c r="T23" s="52">
        <v>-1207.7361313687845</v>
      </c>
      <c r="U23" s="14">
        <v>0.34726317435049936</v>
      </c>
      <c r="V23" s="15">
        <f>'[85]April 25'!$S$7</f>
        <v>10466.621999999999</v>
      </c>
      <c r="W23" s="16">
        <f>'[85]April 25'!$T$7</f>
        <v>10651.389445340317</v>
      </c>
      <c r="X23" s="52">
        <v>-1207.7361313687845</v>
      </c>
      <c r="Y23" s="14">
        <f t="shared" si="4"/>
        <v>-1.7346792762436117E-2</v>
      </c>
      <c r="Z23" s="15">
        <f>'[85]April 25'!$AA$7</f>
        <v>14749.094999999999</v>
      </c>
      <c r="AA23" s="16">
        <f>'[85]April 25'!$AB$7</f>
        <v>3463.6903790076044</v>
      </c>
      <c r="AB23" s="52">
        <v>-1207.7361313687845</v>
      </c>
      <c r="AC23" s="19">
        <f>IFERROR(IF(AA23&lt;0,-(Z23-AA23)/AA23,(Z23-AA23)/AA23),"")</f>
        <v>3.2582024910164806</v>
      </c>
      <c r="AD23" s="126">
        <v>0</v>
      </c>
      <c r="AE23" s="139">
        <v>0</v>
      </c>
      <c r="AF23" s="108">
        <f t="shared" si="6"/>
        <v>0</v>
      </c>
      <c r="AG23" s="113">
        <v>0</v>
      </c>
      <c r="AH23" s="141">
        <v>0</v>
      </c>
      <c r="AI23" s="128">
        <v>0</v>
      </c>
      <c r="AJ23" s="108">
        <f t="shared" si="8"/>
        <v>0</v>
      </c>
      <c r="AK23" s="19">
        <v>0</v>
      </c>
      <c r="AL23" s="142">
        <f>Z23</f>
        <v>14749.094999999999</v>
      </c>
      <c r="AM23" s="133">
        <f>AA23</f>
        <v>3463.6903790076044</v>
      </c>
      <c r="AN23" s="13">
        <f t="shared" si="9"/>
        <v>11285.404620992394</v>
      </c>
      <c r="AO23" s="244">
        <f t="shared" si="10"/>
        <v>3.2582024910164806</v>
      </c>
      <c r="AP23" s="111" t="s">
        <v>145</v>
      </c>
      <c r="AQ23" s="22"/>
      <c r="AR23" s="1">
        <f t="shared" si="11"/>
        <v>0</v>
      </c>
      <c r="AS23" s="1">
        <f t="shared" si="12"/>
        <v>0</v>
      </c>
      <c r="AT23" s="1">
        <f t="shared" si="13"/>
        <v>0</v>
      </c>
      <c r="AU23" s="1">
        <f t="shared" si="14"/>
        <v>0</v>
      </c>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c r="IM23" s="22"/>
      <c r="IN23" s="22"/>
      <c r="IO23" s="22"/>
      <c r="IP23" s="22"/>
      <c r="IQ23" s="22"/>
      <c r="IR23" s="22"/>
      <c r="IS23" s="22"/>
      <c r="IT23" s="22"/>
      <c r="IU23" s="22"/>
      <c r="IV23" s="22"/>
      <c r="IW23" s="22"/>
      <c r="IX23" s="22"/>
      <c r="IY23" s="22"/>
      <c r="IZ23" s="22"/>
      <c r="JA23" s="22"/>
      <c r="JB23" s="22"/>
      <c r="JC23" s="22"/>
      <c r="JD23" s="22"/>
      <c r="JE23" s="22"/>
      <c r="JF23" s="22"/>
      <c r="JG23" s="22"/>
      <c r="JH23" s="22"/>
      <c r="JI23" s="22"/>
      <c r="JJ23" s="22"/>
      <c r="JK23" s="22"/>
      <c r="JL23" s="22"/>
      <c r="JM23" s="22"/>
      <c r="JN23" s="22"/>
      <c r="JO23" s="22"/>
      <c r="JP23" s="22"/>
      <c r="JQ23" s="22"/>
      <c r="JR23" s="22"/>
      <c r="JS23" s="22"/>
      <c r="JT23" s="22"/>
      <c r="JU23" s="22"/>
      <c r="JV23" s="22"/>
      <c r="JW23" s="22"/>
      <c r="JX23" s="22"/>
      <c r="JY23" s="22"/>
      <c r="JZ23" s="22"/>
      <c r="KA23" s="22"/>
      <c r="KB23" s="22"/>
      <c r="KC23" s="22"/>
      <c r="KD23" s="22"/>
      <c r="KE23" s="22"/>
      <c r="KF23" s="22"/>
      <c r="KG23" s="22"/>
      <c r="KH23" s="22"/>
      <c r="KI23" s="22"/>
      <c r="KJ23" s="22"/>
      <c r="KK23" s="22"/>
      <c r="KL23" s="22"/>
      <c r="KM23" s="22"/>
      <c r="KN23" s="22"/>
      <c r="KO23" s="22"/>
      <c r="KP23" s="22"/>
      <c r="KQ23" s="22"/>
      <c r="KR23" s="22"/>
      <c r="KS23" s="22"/>
      <c r="KT23" s="22"/>
      <c r="KU23" s="22"/>
      <c r="KV23" s="22"/>
      <c r="KW23" s="22"/>
      <c r="KX23" s="22"/>
      <c r="KY23" s="22"/>
      <c r="KZ23" s="22"/>
      <c r="LA23" s="22"/>
      <c r="LB23" s="22"/>
      <c r="LC23" s="22"/>
      <c r="LD23" s="22"/>
      <c r="LE23" s="22"/>
      <c r="LF23" s="22"/>
      <c r="LG23" s="22"/>
      <c r="LH23" s="22"/>
      <c r="LI23" s="22"/>
      <c r="LJ23" s="22"/>
      <c r="LK23" s="22"/>
      <c r="LL23" s="22"/>
      <c r="LM23" s="22"/>
      <c r="LN23" s="22"/>
      <c r="LO23" s="22"/>
      <c r="LP23" s="22"/>
      <c r="LQ23" s="22"/>
      <c r="LR23" s="22"/>
      <c r="LS23" s="22"/>
      <c r="LT23" s="22"/>
      <c r="LU23" s="22"/>
      <c r="LV23" s="22"/>
      <c r="LW23" s="22"/>
      <c r="LX23" s="22"/>
      <c r="LY23" s="22"/>
      <c r="LZ23" s="22"/>
      <c r="MA23" s="22"/>
      <c r="MB23" s="22"/>
      <c r="MC23" s="22"/>
      <c r="MD23" s="22"/>
      <c r="ME23" s="22"/>
      <c r="MF23" s="22"/>
      <c r="MG23" s="22"/>
      <c r="MH23" s="22"/>
      <c r="MI23" s="22"/>
      <c r="MJ23" s="22"/>
      <c r="MK23" s="22"/>
      <c r="ML23" s="22"/>
      <c r="MM23" s="22"/>
      <c r="MN23" s="22"/>
      <c r="MO23" s="22"/>
      <c r="MP23" s="22"/>
      <c r="MQ23" s="22"/>
      <c r="MR23" s="22"/>
      <c r="MS23" s="22"/>
      <c r="MT23" s="22"/>
      <c r="MU23" s="22"/>
      <c r="MV23" s="22"/>
      <c r="MW23" s="22"/>
      <c r="MX23" s="22"/>
      <c r="MY23" s="22"/>
      <c r="MZ23" s="22"/>
      <c r="NA23" s="22"/>
      <c r="NB23" s="22"/>
      <c r="NC23" s="22"/>
      <c r="ND23" s="22"/>
      <c r="NE23" s="22"/>
      <c r="NF23" s="22"/>
      <c r="NG23" s="22"/>
      <c r="NH23" s="22"/>
      <c r="NI23" s="22"/>
      <c r="NJ23" s="22"/>
      <c r="NK23" s="22"/>
      <c r="NL23" s="22"/>
      <c r="NM23" s="22"/>
      <c r="NN23" s="22"/>
      <c r="NO23" s="22"/>
      <c r="NP23" s="22"/>
      <c r="NQ23" s="22"/>
      <c r="NR23" s="22"/>
      <c r="NS23" s="22"/>
      <c r="NT23" s="22"/>
      <c r="NU23" s="22"/>
      <c r="NV23" s="22"/>
      <c r="NW23" s="22"/>
      <c r="NX23" s="22"/>
      <c r="NY23" s="22"/>
      <c r="NZ23" s="22"/>
      <c r="OA23" s="22"/>
      <c r="OB23" s="22"/>
      <c r="OC23" s="22"/>
      <c r="OD23" s="22"/>
      <c r="OE23" s="22"/>
      <c r="OF23" s="22"/>
      <c r="OG23" s="22"/>
      <c r="OH23" s="22"/>
      <c r="OI23" s="22"/>
      <c r="OJ23" s="22"/>
      <c r="OK23" s="22"/>
      <c r="OL23" s="22"/>
      <c r="OM23" s="22"/>
      <c r="ON23" s="22"/>
      <c r="OO23" s="22"/>
      <c r="OP23" s="22"/>
      <c r="OQ23" s="22"/>
      <c r="OR23" s="22"/>
      <c r="OS23" s="22"/>
      <c r="OT23" s="22"/>
      <c r="OU23" s="22"/>
      <c r="OV23" s="22"/>
      <c r="OW23" s="22"/>
      <c r="OX23" s="22"/>
      <c r="OY23" s="22"/>
      <c r="OZ23" s="22"/>
      <c r="PA23" s="22"/>
      <c r="PB23" s="22"/>
      <c r="PC23" s="22"/>
      <c r="PD23" s="22"/>
      <c r="PE23" s="22"/>
      <c r="PF23" s="22"/>
      <c r="PG23" s="22"/>
      <c r="PH23" s="22"/>
      <c r="PI23" s="22"/>
      <c r="PJ23" s="22"/>
      <c r="PK23" s="22"/>
      <c r="PL23" s="22"/>
      <c r="PM23" s="22"/>
      <c r="PN23" s="22"/>
      <c r="PO23" s="22"/>
      <c r="PP23" s="22"/>
      <c r="PQ23" s="22"/>
      <c r="PR23" s="22"/>
      <c r="PS23" s="22"/>
      <c r="PT23" s="22"/>
      <c r="PU23" s="22"/>
      <c r="PV23" s="22"/>
      <c r="PW23" s="22"/>
      <c r="PX23" s="22"/>
      <c r="PY23" s="22"/>
      <c r="PZ23" s="22"/>
      <c r="QA23" s="22"/>
      <c r="QB23" s="22"/>
      <c r="QC23" s="22"/>
      <c r="QD23" s="22"/>
      <c r="QE23" s="22"/>
      <c r="QF23" s="22"/>
      <c r="QG23" s="22"/>
      <c r="QH23" s="22"/>
      <c r="QI23" s="22"/>
      <c r="QJ23" s="22"/>
      <c r="QK23" s="22"/>
      <c r="QL23" s="22"/>
      <c r="QM23" s="22"/>
      <c r="QN23" s="22"/>
      <c r="QO23" s="22"/>
      <c r="QP23" s="22"/>
      <c r="QQ23" s="22"/>
      <c r="QR23" s="22"/>
      <c r="QS23" s="22"/>
      <c r="QT23" s="22"/>
      <c r="QU23" s="22"/>
      <c r="QV23" s="22"/>
      <c r="QW23" s="22"/>
      <c r="QX23" s="22"/>
      <c r="QY23" s="22"/>
      <c r="QZ23" s="22"/>
      <c r="RA23" s="22"/>
      <c r="RB23" s="22"/>
      <c r="RC23" s="22"/>
      <c r="RD23" s="22"/>
      <c r="RE23" s="22"/>
      <c r="RF23" s="22"/>
      <c r="RG23" s="22"/>
      <c r="RH23" s="22"/>
      <c r="RI23" s="22"/>
      <c r="RJ23" s="22"/>
      <c r="RK23" s="22"/>
      <c r="RL23" s="22"/>
      <c r="RM23" s="22"/>
      <c r="RN23" s="22"/>
      <c r="RO23" s="22"/>
      <c r="RP23" s="22"/>
      <c r="RQ23" s="22"/>
      <c r="RR23" s="22"/>
      <c r="RS23" s="22"/>
      <c r="RT23" s="22"/>
      <c r="RU23" s="22"/>
      <c r="RV23" s="22"/>
      <c r="RW23" s="22"/>
      <c r="RX23" s="22"/>
      <c r="RY23" s="22"/>
      <c r="RZ23" s="22"/>
      <c r="SA23" s="22"/>
      <c r="SB23" s="22"/>
      <c r="SC23" s="22"/>
      <c r="SD23" s="22"/>
      <c r="SE23" s="22"/>
      <c r="SF23" s="22"/>
      <c r="SG23" s="22"/>
      <c r="SH23" s="22"/>
      <c r="SI23" s="22"/>
      <c r="SJ23" s="22"/>
      <c r="SK23" s="22"/>
      <c r="SL23" s="22"/>
      <c r="SM23" s="22"/>
      <c r="SN23" s="22"/>
      <c r="SO23" s="22"/>
      <c r="SP23" s="22"/>
      <c r="SQ23" s="22"/>
      <c r="SR23" s="22"/>
      <c r="SS23" s="22"/>
      <c r="ST23" s="22"/>
      <c r="SU23" s="22"/>
      <c r="SV23" s="22"/>
      <c r="SW23" s="22"/>
      <c r="SX23" s="22"/>
      <c r="SY23" s="22"/>
      <c r="SZ23" s="22"/>
      <c r="TA23" s="22"/>
      <c r="TB23" s="22"/>
      <c r="TC23" s="22"/>
      <c r="TD23" s="22"/>
      <c r="TE23" s="22"/>
      <c r="TF23" s="22"/>
      <c r="TG23" s="22"/>
      <c r="TH23" s="22"/>
      <c r="TI23" s="22"/>
      <c r="TJ23" s="22"/>
      <c r="TK23" s="22"/>
      <c r="TL23" s="22"/>
      <c r="TM23" s="22"/>
      <c r="TN23" s="22"/>
      <c r="TO23" s="22"/>
      <c r="TP23" s="22"/>
      <c r="TQ23" s="22"/>
      <c r="TR23" s="22"/>
      <c r="TS23" s="22"/>
      <c r="TT23" s="22"/>
      <c r="TU23" s="22"/>
      <c r="TV23" s="22"/>
      <c r="TW23" s="22"/>
      <c r="TX23" s="22"/>
      <c r="TY23" s="22"/>
      <c r="TZ23" s="22"/>
      <c r="UA23" s="22"/>
      <c r="UB23" s="22"/>
      <c r="UC23" s="22"/>
      <c r="UD23" s="22"/>
      <c r="UE23" s="22"/>
      <c r="UF23" s="22"/>
      <c r="UG23" s="22"/>
      <c r="UH23" s="22"/>
      <c r="UI23" s="22"/>
      <c r="UJ23" s="22"/>
      <c r="UK23" s="22"/>
      <c r="UL23" s="22"/>
      <c r="UM23" s="22"/>
      <c r="UN23" s="22"/>
      <c r="UO23" s="22"/>
      <c r="UP23" s="22"/>
      <c r="UQ23" s="22"/>
      <c r="UR23" s="22"/>
      <c r="US23" s="22"/>
      <c r="UT23" s="22"/>
      <c r="UU23" s="22"/>
      <c r="UV23" s="22"/>
      <c r="UW23" s="22"/>
      <c r="UX23" s="22"/>
      <c r="UY23" s="22"/>
      <c r="UZ23" s="22"/>
      <c r="VA23" s="22"/>
      <c r="VB23" s="22"/>
      <c r="VC23" s="22"/>
      <c r="VD23" s="22"/>
      <c r="VE23" s="22"/>
      <c r="VF23" s="22"/>
      <c r="VG23" s="22"/>
      <c r="VH23" s="22"/>
      <c r="VI23" s="22"/>
      <c r="VJ23" s="22"/>
      <c r="VK23" s="22"/>
      <c r="VL23" s="22"/>
      <c r="VM23" s="22"/>
      <c r="VN23" s="22"/>
      <c r="VO23" s="22"/>
      <c r="VP23" s="22"/>
      <c r="VQ23" s="22"/>
      <c r="VR23" s="22"/>
      <c r="VS23" s="22"/>
      <c r="VT23" s="22"/>
      <c r="VU23" s="22"/>
      <c r="VV23" s="22"/>
      <c r="VW23" s="22"/>
      <c r="VX23" s="22"/>
      <c r="VY23" s="22"/>
      <c r="VZ23" s="22"/>
      <c r="WA23" s="22"/>
      <c r="WB23" s="22"/>
      <c r="WC23" s="22"/>
      <c r="WD23" s="22"/>
      <c r="WE23" s="22"/>
      <c r="WF23" s="22"/>
      <c r="WG23" s="22"/>
      <c r="WH23" s="22"/>
      <c r="WI23" s="22"/>
      <c r="WJ23" s="22"/>
      <c r="WK23" s="22"/>
      <c r="WL23" s="22"/>
      <c r="WM23" s="22"/>
      <c r="WN23" s="22"/>
      <c r="WO23" s="22"/>
      <c r="WP23" s="22"/>
      <c r="WQ23" s="22"/>
      <c r="WR23" s="22"/>
      <c r="WS23" s="22"/>
      <c r="WT23" s="22"/>
      <c r="WU23" s="22"/>
      <c r="WV23" s="22"/>
      <c r="WW23" s="22"/>
      <c r="WX23" s="22"/>
      <c r="WY23" s="22"/>
      <c r="WZ23" s="22"/>
      <c r="XA23" s="22"/>
      <c r="XB23" s="22"/>
      <c r="XC23" s="22"/>
      <c r="XD23" s="22"/>
      <c r="XE23" s="22"/>
      <c r="XF23" s="22"/>
      <c r="XG23" s="22"/>
      <c r="XH23" s="22"/>
      <c r="XI23" s="22"/>
      <c r="XJ23" s="22"/>
      <c r="XK23" s="22"/>
      <c r="XL23" s="22"/>
      <c r="XM23" s="22"/>
      <c r="XN23" s="22"/>
      <c r="XO23" s="22"/>
      <c r="XP23" s="22"/>
      <c r="XQ23" s="22"/>
      <c r="XR23" s="22"/>
      <c r="XS23" s="22"/>
      <c r="XT23" s="22"/>
      <c r="XU23" s="22"/>
      <c r="XV23" s="22"/>
      <c r="XW23" s="22"/>
      <c r="XX23" s="22"/>
      <c r="XY23" s="22"/>
      <c r="XZ23" s="22"/>
      <c r="YA23" s="22"/>
      <c r="YB23" s="22"/>
      <c r="YC23" s="22"/>
      <c r="YD23" s="22"/>
      <c r="YE23" s="22"/>
      <c r="YF23" s="22"/>
      <c r="YG23" s="22"/>
      <c r="YH23" s="22"/>
      <c r="YI23" s="22"/>
      <c r="YJ23" s="22"/>
      <c r="YK23" s="22"/>
      <c r="YL23" s="22"/>
      <c r="YM23" s="22"/>
      <c r="YN23" s="22"/>
      <c r="YO23" s="22"/>
      <c r="YP23" s="22"/>
      <c r="YQ23" s="22"/>
      <c r="YR23" s="22"/>
      <c r="YS23" s="22"/>
      <c r="YT23" s="22"/>
      <c r="YU23" s="22"/>
      <c r="YV23" s="22"/>
      <c r="YW23" s="22"/>
      <c r="YX23" s="22"/>
      <c r="YY23" s="22"/>
      <c r="YZ23" s="22"/>
      <c r="ZA23" s="22"/>
      <c r="ZB23" s="22"/>
      <c r="ZC23" s="22"/>
      <c r="ZD23" s="22"/>
      <c r="ZE23" s="22"/>
      <c r="ZF23" s="22"/>
      <c r="ZG23" s="22"/>
      <c r="ZH23" s="22"/>
      <c r="ZI23" s="22"/>
      <c r="ZJ23" s="22"/>
      <c r="ZK23" s="22"/>
      <c r="ZL23" s="22"/>
      <c r="ZM23" s="22"/>
      <c r="ZN23" s="22"/>
      <c r="ZO23" s="22"/>
      <c r="ZP23" s="22"/>
      <c r="ZQ23" s="22"/>
      <c r="ZR23" s="22"/>
      <c r="ZS23" s="22"/>
      <c r="ZT23" s="22"/>
      <c r="ZU23" s="22"/>
      <c r="ZV23" s="22"/>
      <c r="ZW23" s="22"/>
      <c r="ZX23" s="22"/>
      <c r="ZY23" s="22"/>
      <c r="ZZ23" s="22"/>
      <c r="AAA23" s="22"/>
      <c r="AAB23" s="22"/>
      <c r="AAC23" s="22"/>
      <c r="AAD23" s="22"/>
      <c r="AAE23" s="22"/>
      <c r="AAF23" s="22"/>
      <c r="AAG23" s="22"/>
      <c r="AAH23" s="22"/>
      <c r="AAI23" s="22"/>
      <c r="AAJ23" s="22"/>
      <c r="AAK23" s="22"/>
      <c r="AAL23" s="22"/>
      <c r="AAM23" s="22"/>
      <c r="AAN23" s="22"/>
      <c r="AAO23" s="22"/>
      <c r="AAP23" s="22"/>
      <c r="AAQ23" s="22"/>
      <c r="AAR23" s="22"/>
      <c r="AAS23" s="22"/>
      <c r="AAT23" s="22"/>
      <c r="AAU23" s="22"/>
      <c r="AAV23" s="22"/>
      <c r="AAW23" s="22"/>
      <c r="AAX23" s="22"/>
      <c r="AAY23" s="22"/>
      <c r="AAZ23" s="22"/>
      <c r="ABA23" s="22"/>
      <c r="ABB23" s="22"/>
      <c r="ABC23" s="22"/>
    </row>
    <row r="24" spans="1:731" ht="15" customHeight="1" thickBot="1" x14ac:dyDescent="0.35">
      <c r="A24" s="408"/>
      <c r="B24" s="435"/>
      <c r="C24" s="297"/>
      <c r="D24" s="313" t="s">
        <v>11</v>
      </c>
      <c r="E24" s="30" t="s">
        <v>30</v>
      </c>
      <c r="F24" s="106">
        <f t="shared" si="23"/>
        <v>60.7412941417548</v>
      </c>
      <c r="G24" s="150">
        <f t="shared" si="23"/>
        <v>143.66000718942351</v>
      </c>
      <c r="H24" s="31">
        <f t="shared" ref="H24:H38" si="24">F24-G24</f>
        <v>-82.918713047668717</v>
      </c>
      <c r="I24" s="156">
        <f t="shared" si="1"/>
        <v>-0.57718717038859602</v>
      </c>
      <c r="J24" s="151">
        <f>'[85]April 25'!$G$8</f>
        <v>18133.171110000003</v>
      </c>
      <c r="K24" s="150">
        <f>'[85]April 25'!$H$8</f>
        <v>42886.993582161915</v>
      </c>
      <c r="L24" s="31">
        <f t="shared" ref="L24:L38" si="25">J24-K24</f>
        <v>-24753.822472161912</v>
      </c>
      <c r="M24" s="156">
        <f t="shared" si="21"/>
        <v>-0.57718717038859602</v>
      </c>
      <c r="N24" s="151">
        <f>'[85]April 25'!$O$8</f>
        <v>7479.1362000000026</v>
      </c>
      <c r="O24" s="150">
        <f>'[85]April 25'!$P$8</f>
        <v>8024.4032866015959</v>
      </c>
      <c r="P24" s="31">
        <f t="shared" ref="P24:P38" si="26">N24-O24</f>
        <v>-545.26708660159329</v>
      </c>
      <c r="Q24" s="156">
        <f t="shared" si="2"/>
        <v>-6.7951107032722252E-2</v>
      </c>
      <c r="R24" s="151">
        <f>'[85]April 25'!$W$8</f>
        <v>-5929.4859599999991</v>
      </c>
      <c r="S24" s="150">
        <f>'[85]April 25'!$X$8</f>
        <v>0</v>
      </c>
      <c r="T24" s="31">
        <f t="shared" ref="T24:T38" si="27">R24-S24</f>
        <v>-5929.4859599999991</v>
      </c>
      <c r="U24" s="156">
        <v>0</v>
      </c>
      <c r="V24" s="151">
        <f>'[85]April 25'!$S$8</f>
        <v>6502.7181500000006</v>
      </c>
      <c r="W24" s="150">
        <f>'[85]April 25'!$T$8</f>
        <v>6728.7875687430278</v>
      </c>
      <c r="X24" s="31">
        <f t="shared" ref="X24:X38" si="28">V24-W24</f>
        <v>-226.0694187430272</v>
      </c>
      <c r="Y24" s="156">
        <f t="shared" si="4"/>
        <v>-3.3597348175052902E-2</v>
      </c>
      <c r="Z24" s="151">
        <f>'[85]April 25'!$AA$8</f>
        <v>-4953.0679099999961</v>
      </c>
      <c r="AA24" s="150">
        <f>'[85]April 25'!$AB$8</f>
        <v>1295.6157178585679</v>
      </c>
      <c r="AB24" s="31">
        <f t="shared" ref="AB24:AB38" si="29">Z24-AA24</f>
        <v>-6248.6836278585643</v>
      </c>
      <c r="AC24" s="158">
        <f t="shared" si="5"/>
        <v>-4.8229452157207335</v>
      </c>
      <c r="AD24" s="206">
        <v>0</v>
      </c>
      <c r="AE24" s="207">
        <v>0</v>
      </c>
      <c r="AF24" s="161">
        <f t="shared" si="6"/>
        <v>0</v>
      </c>
      <c r="AG24" s="162">
        <v>0</v>
      </c>
      <c r="AH24" s="210">
        <v>0</v>
      </c>
      <c r="AI24" s="208">
        <v>0</v>
      </c>
      <c r="AJ24" s="161">
        <f t="shared" si="8"/>
        <v>0</v>
      </c>
      <c r="AK24" s="158">
        <v>0</v>
      </c>
      <c r="AL24" s="175">
        <f>Z24</f>
        <v>-4953.0679099999961</v>
      </c>
      <c r="AM24" s="164">
        <f>AA24</f>
        <v>1295.6157178585679</v>
      </c>
      <c r="AN24" s="165">
        <f t="shared" si="9"/>
        <v>-6248.6836278585643</v>
      </c>
      <c r="AO24" s="301">
        <f t="shared" si="10"/>
        <v>-4.8229452157207335</v>
      </c>
      <c r="AP24" s="111" t="s">
        <v>148</v>
      </c>
      <c r="AQ24" s="22"/>
      <c r="AR24" s="1">
        <f t="shared" si="11"/>
        <v>0</v>
      </c>
      <c r="AS24" s="1">
        <f t="shared" si="12"/>
        <v>0</v>
      </c>
      <c r="AT24" s="1">
        <f t="shared" si="13"/>
        <v>0</v>
      </c>
      <c r="AU24" s="1">
        <f t="shared" si="14"/>
        <v>0</v>
      </c>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c r="IJ24" s="22"/>
      <c r="IK24" s="22"/>
      <c r="IL24" s="22"/>
      <c r="IM24" s="22"/>
      <c r="IN24" s="22"/>
      <c r="IO24" s="22"/>
      <c r="IP24" s="22"/>
      <c r="IQ24" s="22"/>
      <c r="IR24" s="22"/>
      <c r="IS24" s="22"/>
      <c r="IT24" s="22"/>
      <c r="IU24" s="22"/>
      <c r="IV24" s="22"/>
      <c r="IW24" s="22"/>
      <c r="IX24" s="22"/>
      <c r="IY24" s="22"/>
      <c r="IZ24" s="22"/>
      <c r="JA24" s="22"/>
      <c r="JB24" s="22"/>
      <c r="JC24" s="22"/>
      <c r="JD24" s="22"/>
      <c r="JE24" s="22"/>
      <c r="JF24" s="22"/>
      <c r="JG24" s="22"/>
      <c r="JH24" s="22"/>
      <c r="JI24" s="22"/>
      <c r="JJ24" s="22"/>
      <c r="JK24" s="22"/>
      <c r="JL24" s="22"/>
      <c r="JM24" s="22"/>
      <c r="JN24" s="22"/>
      <c r="JO24" s="22"/>
      <c r="JP24" s="22"/>
      <c r="JQ24" s="22"/>
      <c r="JR24" s="22"/>
      <c r="JS24" s="22"/>
      <c r="JT24" s="22"/>
      <c r="JU24" s="22"/>
      <c r="JV24" s="22"/>
      <c r="JW24" s="22"/>
      <c r="JX24" s="22"/>
      <c r="JY24" s="22"/>
      <c r="JZ24" s="22"/>
      <c r="KA24" s="22"/>
      <c r="KB24" s="22"/>
      <c r="KC24" s="22"/>
      <c r="KD24" s="22"/>
      <c r="KE24" s="22"/>
      <c r="KF24" s="22"/>
      <c r="KG24" s="22"/>
      <c r="KH24" s="22"/>
      <c r="KI24" s="22"/>
      <c r="KJ24" s="22"/>
      <c r="KK24" s="22"/>
      <c r="KL24" s="22"/>
      <c r="KM24" s="22"/>
      <c r="KN24" s="22"/>
      <c r="KO24" s="22"/>
      <c r="KP24" s="22"/>
      <c r="KQ24" s="22"/>
      <c r="KR24" s="22"/>
      <c r="KS24" s="22"/>
      <c r="KT24" s="22"/>
      <c r="KU24" s="22"/>
      <c r="KV24" s="22"/>
      <c r="KW24" s="22"/>
      <c r="KX24" s="22"/>
      <c r="KY24" s="22"/>
      <c r="KZ24" s="22"/>
      <c r="LA24" s="22"/>
      <c r="LB24" s="22"/>
      <c r="LC24" s="22"/>
      <c r="LD24" s="22"/>
      <c r="LE24" s="22"/>
      <c r="LF24" s="22"/>
      <c r="LG24" s="22"/>
      <c r="LH24" s="22"/>
      <c r="LI24" s="22"/>
      <c r="LJ24" s="22"/>
      <c r="LK24" s="22"/>
      <c r="LL24" s="22"/>
      <c r="LM24" s="22"/>
      <c r="LN24" s="22"/>
      <c r="LO24" s="22"/>
      <c r="LP24" s="22"/>
      <c r="LQ24" s="22"/>
      <c r="LR24" s="22"/>
      <c r="LS24" s="22"/>
      <c r="LT24" s="22"/>
      <c r="LU24" s="22"/>
      <c r="LV24" s="22"/>
      <c r="LW24" s="22"/>
      <c r="LX24" s="22"/>
      <c r="LY24" s="22"/>
      <c r="LZ24" s="22"/>
      <c r="MA24" s="22"/>
      <c r="MB24" s="22"/>
      <c r="MC24" s="22"/>
      <c r="MD24" s="22"/>
      <c r="ME24" s="22"/>
      <c r="MF24" s="22"/>
      <c r="MG24" s="22"/>
      <c r="MH24" s="22"/>
      <c r="MI24" s="22"/>
      <c r="MJ24" s="22"/>
      <c r="MK24" s="22"/>
      <c r="ML24" s="22"/>
      <c r="MM24" s="22"/>
      <c r="MN24" s="22"/>
      <c r="MO24" s="22"/>
      <c r="MP24" s="22"/>
      <c r="MQ24" s="22"/>
      <c r="MR24" s="22"/>
      <c r="MS24" s="22"/>
      <c r="MT24" s="22"/>
      <c r="MU24" s="22"/>
      <c r="MV24" s="22"/>
      <c r="MW24" s="22"/>
      <c r="MX24" s="22"/>
      <c r="MY24" s="22"/>
      <c r="MZ24" s="22"/>
      <c r="NA24" s="22"/>
      <c r="NB24" s="22"/>
      <c r="NC24" s="22"/>
      <c r="ND24" s="22"/>
      <c r="NE24" s="22"/>
      <c r="NF24" s="22"/>
      <c r="NG24" s="22"/>
      <c r="NH24" s="22"/>
      <c r="NI24" s="22"/>
      <c r="NJ24" s="22"/>
      <c r="NK24" s="22"/>
      <c r="NL24" s="22"/>
      <c r="NM24" s="22"/>
      <c r="NN24" s="22"/>
      <c r="NO24" s="22"/>
      <c r="NP24" s="22"/>
      <c r="NQ24" s="22"/>
      <c r="NR24" s="22"/>
      <c r="NS24" s="22"/>
      <c r="NT24" s="22"/>
      <c r="NU24" s="22"/>
      <c r="NV24" s="22"/>
      <c r="NW24" s="22"/>
      <c r="NX24" s="22"/>
      <c r="NY24" s="22"/>
      <c r="NZ24" s="22"/>
      <c r="OA24" s="22"/>
      <c r="OB24" s="22"/>
      <c r="OC24" s="22"/>
      <c r="OD24" s="22"/>
      <c r="OE24" s="22"/>
      <c r="OF24" s="22"/>
      <c r="OG24" s="22"/>
      <c r="OH24" s="22"/>
      <c r="OI24" s="22"/>
      <c r="OJ24" s="22"/>
      <c r="OK24" s="22"/>
      <c r="OL24" s="22"/>
      <c r="OM24" s="22"/>
      <c r="ON24" s="22"/>
      <c r="OO24" s="22"/>
      <c r="OP24" s="22"/>
      <c r="OQ24" s="22"/>
      <c r="OR24" s="22"/>
      <c r="OS24" s="22"/>
      <c r="OT24" s="22"/>
      <c r="OU24" s="22"/>
      <c r="OV24" s="22"/>
      <c r="OW24" s="22"/>
      <c r="OX24" s="22"/>
      <c r="OY24" s="22"/>
      <c r="OZ24" s="22"/>
      <c r="PA24" s="22"/>
      <c r="PB24" s="22"/>
      <c r="PC24" s="22"/>
      <c r="PD24" s="22"/>
      <c r="PE24" s="22"/>
      <c r="PF24" s="22"/>
      <c r="PG24" s="22"/>
      <c r="PH24" s="22"/>
      <c r="PI24" s="22"/>
      <c r="PJ24" s="22"/>
      <c r="PK24" s="22"/>
      <c r="PL24" s="22"/>
      <c r="PM24" s="22"/>
      <c r="PN24" s="22"/>
      <c r="PO24" s="22"/>
      <c r="PP24" s="22"/>
      <c r="PQ24" s="22"/>
      <c r="PR24" s="22"/>
      <c r="PS24" s="22"/>
      <c r="PT24" s="22"/>
      <c r="PU24" s="22"/>
      <c r="PV24" s="22"/>
      <c r="PW24" s="22"/>
      <c r="PX24" s="22"/>
      <c r="PY24" s="22"/>
      <c r="PZ24" s="22"/>
      <c r="QA24" s="22"/>
      <c r="QB24" s="22"/>
      <c r="QC24" s="22"/>
      <c r="QD24" s="22"/>
      <c r="QE24" s="22"/>
      <c r="QF24" s="22"/>
      <c r="QG24" s="22"/>
      <c r="QH24" s="22"/>
      <c r="QI24" s="22"/>
      <c r="QJ24" s="22"/>
      <c r="QK24" s="22"/>
      <c r="QL24" s="22"/>
      <c r="QM24" s="22"/>
      <c r="QN24" s="22"/>
      <c r="QO24" s="22"/>
      <c r="QP24" s="22"/>
      <c r="QQ24" s="22"/>
      <c r="QR24" s="22"/>
      <c r="QS24" s="22"/>
      <c r="QT24" s="22"/>
      <c r="QU24" s="22"/>
      <c r="QV24" s="22"/>
      <c r="QW24" s="22"/>
      <c r="QX24" s="22"/>
      <c r="QY24" s="22"/>
      <c r="QZ24" s="22"/>
      <c r="RA24" s="22"/>
      <c r="RB24" s="22"/>
      <c r="RC24" s="22"/>
      <c r="RD24" s="22"/>
      <c r="RE24" s="22"/>
      <c r="RF24" s="22"/>
      <c r="RG24" s="22"/>
      <c r="RH24" s="22"/>
      <c r="RI24" s="22"/>
      <c r="RJ24" s="22"/>
      <c r="RK24" s="22"/>
      <c r="RL24" s="22"/>
      <c r="RM24" s="22"/>
      <c r="RN24" s="22"/>
      <c r="RO24" s="22"/>
      <c r="RP24" s="22"/>
      <c r="RQ24" s="22"/>
      <c r="RR24" s="22"/>
      <c r="RS24" s="22"/>
      <c r="RT24" s="22"/>
      <c r="RU24" s="22"/>
      <c r="RV24" s="22"/>
      <c r="RW24" s="22"/>
      <c r="RX24" s="22"/>
      <c r="RY24" s="22"/>
      <c r="RZ24" s="22"/>
      <c r="SA24" s="22"/>
      <c r="SB24" s="22"/>
      <c r="SC24" s="22"/>
      <c r="SD24" s="22"/>
      <c r="SE24" s="22"/>
      <c r="SF24" s="22"/>
      <c r="SG24" s="22"/>
      <c r="SH24" s="22"/>
      <c r="SI24" s="22"/>
      <c r="SJ24" s="22"/>
      <c r="SK24" s="22"/>
      <c r="SL24" s="22"/>
      <c r="SM24" s="22"/>
      <c r="SN24" s="22"/>
      <c r="SO24" s="22"/>
      <c r="SP24" s="22"/>
      <c r="SQ24" s="22"/>
      <c r="SR24" s="22"/>
      <c r="SS24" s="22"/>
      <c r="ST24" s="22"/>
      <c r="SU24" s="22"/>
      <c r="SV24" s="22"/>
      <c r="SW24" s="22"/>
      <c r="SX24" s="22"/>
      <c r="SY24" s="22"/>
      <c r="SZ24" s="22"/>
      <c r="TA24" s="22"/>
      <c r="TB24" s="22"/>
      <c r="TC24" s="22"/>
      <c r="TD24" s="22"/>
      <c r="TE24" s="22"/>
      <c r="TF24" s="22"/>
      <c r="TG24" s="22"/>
      <c r="TH24" s="22"/>
      <c r="TI24" s="22"/>
      <c r="TJ24" s="22"/>
      <c r="TK24" s="22"/>
      <c r="TL24" s="22"/>
      <c r="TM24" s="22"/>
      <c r="TN24" s="22"/>
      <c r="TO24" s="22"/>
      <c r="TP24" s="22"/>
      <c r="TQ24" s="22"/>
      <c r="TR24" s="22"/>
      <c r="TS24" s="22"/>
      <c r="TT24" s="22"/>
      <c r="TU24" s="22"/>
      <c r="TV24" s="22"/>
      <c r="TW24" s="22"/>
      <c r="TX24" s="22"/>
      <c r="TY24" s="22"/>
      <c r="TZ24" s="22"/>
      <c r="UA24" s="22"/>
      <c r="UB24" s="22"/>
      <c r="UC24" s="22"/>
      <c r="UD24" s="22"/>
      <c r="UE24" s="22"/>
      <c r="UF24" s="22"/>
      <c r="UG24" s="22"/>
      <c r="UH24" s="22"/>
      <c r="UI24" s="22"/>
      <c r="UJ24" s="22"/>
      <c r="UK24" s="22"/>
      <c r="UL24" s="22"/>
      <c r="UM24" s="22"/>
      <c r="UN24" s="22"/>
      <c r="UO24" s="22"/>
      <c r="UP24" s="22"/>
      <c r="UQ24" s="22"/>
      <c r="UR24" s="22"/>
      <c r="US24" s="22"/>
      <c r="UT24" s="22"/>
      <c r="UU24" s="22"/>
      <c r="UV24" s="22"/>
      <c r="UW24" s="22"/>
      <c r="UX24" s="22"/>
      <c r="UY24" s="22"/>
      <c r="UZ24" s="22"/>
      <c r="VA24" s="22"/>
      <c r="VB24" s="22"/>
      <c r="VC24" s="22"/>
      <c r="VD24" s="22"/>
      <c r="VE24" s="22"/>
      <c r="VF24" s="22"/>
      <c r="VG24" s="22"/>
      <c r="VH24" s="22"/>
      <c r="VI24" s="22"/>
      <c r="VJ24" s="22"/>
      <c r="VK24" s="22"/>
      <c r="VL24" s="22"/>
      <c r="VM24" s="22"/>
      <c r="VN24" s="22"/>
      <c r="VO24" s="22"/>
      <c r="VP24" s="22"/>
      <c r="VQ24" s="22"/>
      <c r="VR24" s="22"/>
      <c r="VS24" s="22"/>
      <c r="VT24" s="22"/>
      <c r="VU24" s="22"/>
      <c r="VV24" s="22"/>
      <c r="VW24" s="22"/>
      <c r="VX24" s="22"/>
      <c r="VY24" s="22"/>
      <c r="VZ24" s="22"/>
      <c r="WA24" s="22"/>
      <c r="WB24" s="22"/>
      <c r="WC24" s="22"/>
      <c r="WD24" s="22"/>
      <c r="WE24" s="22"/>
      <c r="WF24" s="22"/>
      <c r="WG24" s="22"/>
      <c r="WH24" s="22"/>
      <c r="WI24" s="22"/>
      <c r="WJ24" s="22"/>
      <c r="WK24" s="22"/>
      <c r="WL24" s="22"/>
      <c r="WM24" s="22"/>
      <c r="WN24" s="22"/>
      <c r="WO24" s="22"/>
      <c r="WP24" s="22"/>
      <c r="WQ24" s="22"/>
      <c r="WR24" s="22"/>
      <c r="WS24" s="22"/>
      <c r="WT24" s="22"/>
      <c r="WU24" s="22"/>
      <c r="WV24" s="22"/>
      <c r="WW24" s="22"/>
      <c r="WX24" s="22"/>
      <c r="WY24" s="22"/>
      <c r="WZ24" s="22"/>
      <c r="XA24" s="22"/>
      <c r="XB24" s="22"/>
      <c r="XC24" s="22"/>
      <c r="XD24" s="22"/>
      <c r="XE24" s="22"/>
      <c r="XF24" s="22"/>
      <c r="XG24" s="22"/>
      <c r="XH24" s="22"/>
      <c r="XI24" s="22"/>
      <c r="XJ24" s="22"/>
      <c r="XK24" s="22"/>
      <c r="XL24" s="22"/>
      <c r="XM24" s="22"/>
      <c r="XN24" s="22"/>
      <c r="XO24" s="22"/>
      <c r="XP24" s="22"/>
      <c r="XQ24" s="22"/>
      <c r="XR24" s="22"/>
      <c r="XS24" s="22"/>
      <c r="XT24" s="22"/>
      <c r="XU24" s="22"/>
      <c r="XV24" s="22"/>
      <c r="XW24" s="22"/>
      <c r="XX24" s="22"/>
      <c r="XY24" s="22"/>
      <c r="XZ24" s="22"/>
      <c r="YA24" s="22"/>
      <c r="YB24" s="22"/>
      <c r="YC24" s="22"/>
      <c r="YD24" s="22"/>
      <c r="YE24" s="22"/>
      <c r="YF24" s="22"/>
      <c r="YG24" s="22"/>
      <c r="YH24" s="22"/>
      <c r="YI24" s="22"/>
      <c r="YJ24" s="22"/>
      <c r="YK24" s="22"/>
      <c r="YL24" s="22"/>
      <c r="YM24" s="22"/>
      <c r="YN24" s="22"/>
      <c r="YO24" s="22"/>
      <c r="YP24" s="22"/>
      <c r="YQ24" s="22"/>
      <c r="YR24" s="22"/>
      <c r="YS24" s="22"/>
      <c r="YT24" s="22"/>
      <c r="YU24" s="22"/>
      <c r="YV24" s="22"/>
      <c r="YW24" s="22"/>
      <c r="YX24" s="22"/>
      <c r="YY24" s="22"/>
      <c r="YZ24" s="22"/>
      <c r="ZA24" s="22"/>
      <c r="ZB24" s="22"/>
      <c r="ZC24" s="22"/>
      <c r="ZD24" s="22"/>
      <c r="ZE24" s="22"/>
      <c r="ZF24" s="22"/>
      <c r="ZG24" s="22"/>
      <c r="ZH24" s="22"/>
      <c r="ZI24" s="22"/>
      <c r="ZJ24" s="22"/>
      <c r="ZK24" s="22"/>
      <c r="ZL24" s="22"/>
      <c r="ZM24" s="22"/>
      <c r="ZN24" s="22"/>
      <c r="ZO24" s="22"/>
      <c r="ZP24" s="22"/>
      <c r="ZQ24" s="22"/>
      <c r="ZR24" s="22"/>
      <c r="ZS24" s="22"/>
      <c r="ZT24" s="22"/>
      <c r="ZU24" s="22"/>
      <c r="ZV24" s="22"/>
      <c r="ZW24" s="22"/>
      <c r="ZX24" s="22"/>
      <c r="ZY24" s="22"/>
      <c r="ZZ24" s="22"/>
      <c r="AAA24" s="22"/>
      <c r="AAB24" s="22"/>
      <c r="AAC24" s="22"/>
      <c r="AAD24" s="22"/>
      <c r="AAE24" s="22"/>
      <c r="AAF24" s="22"/>
      <c r="AAG24" s="22"/>
      <c r="AAH24" s="22"/>
      <c r="AAI24" s="22"/>
      <c r="AAJ24" s="22"/>
      <c r="AAK24" s="22"/>
      <c r="AAL24" s="22"/>
      <c r="AAM24" s="22"/>
      <c r="AAN24" s="22"/>
      <c r="AAO24" s="22"/>
      <c r="AAP24" s="22"/>
      <c r="AAQ24" s="22"/>
      <c r="AAR24" s="22"/>
      <c r="AAS24" s="22"/>
      <c r="AAT24" s="22"/>
      <c r="AAU24" s="22"/>
      <c r="AAV24" s="22"/>
      <c r="AAW24" s="22"/>
      <c r="AAX24" s="22"/>
      <c r="AAY24" s="22"/>
      <c r="AAZ24" s="22"/>
      <c r="ABA24" s="22"/>
      <c r="ABB24" s="22"/>
      <c r="ABC24" s="22"/>
    </row>
    <row r="25" spans="1:731" s="56" customFormat="1" ht="15" customHeight="1" thickBot="1" x14ac:dyDescent="0.35">
      <c r="A25" s="53"/>
      <c r="B25" s="435"/>
      <c r="C25" s="298"/>
      <c r="D25" s="197"/>
      <c r="E25" s="373" t="s">
        <v>108</v>
      </c>
      <c r="F25" s="38">
        <f>SUM(F19:F24)</f>
        <v>349.53493090948029</v>
      </c>
      <c r="G25" s="54">
        <f>SUM(G19:G24)</f>
        <v>566.47949814413039</v>
      </c>
      <c r="H25" s="40">
        <f t="shared" si="24"/>
        <v>-216.94456723465009</v>
      </c>
      <c r="I25" s="169">
        <f t="shared" si="1"/>
        <v>-0.38296984788574379</v>
      </c>
      <c r="J25" s="54">
        <f>SUM(J19:J24)</f>
        <v>104347.08052666666</v>
      </c>
      <c r="K25" s="54">
        <f>SUM(K19:K24)</f>
        <v>169111.80137489393</v>
      </c>
      <c r="L25" s="40">
        <f t="shared" si="25"/>
        <v>-64764.720848227269</v>
      </c>
      <c r="M25" s="169">
        <f t="shared" si="21"/>
        <v>-0.38296984788574395</v>
      </c>
      <c r="N25" s="54">
        <f>SUM(N19:N24)</f>
        <v>52918.318876666672</v>
      </c>
      <c r="O25" s="54">
        <f>SUM(O19:O24)</f>
        <v>60755.668649781896</v>
      </c>
      <c r="P25" s="40">
        <f t="shared" si="26"/>
        <v>-7837.3497731152238</v>
      </c>
      <c r="Q25" s="169">
        <f t="shared" si="2"/>
        <v>-0.12899783587754751</v>
      </c>
      <c r="R25" s="54">
        <f>SUM(R19:R24)</f>
        <v>-5252.6398599999993</v>
      </c>
      <c r="S25" s="54">
        <f>SUM(S19:S24)</f>
        <v>667.61982434792139</v>
      </c>
      <c r="T25" s="40">
        <f t="shared" si="27"/>
        <v>-5920.2596843479205</v>
      </c>
      <c r="U25" s="169">
        <f t="shared" ref="U25:U60" si="30">IFERROR(IF(S25&lt;0,-(R25-S25)/S25,(R25-S25)/S25),"")</f>
        <v>-8.8677110361879468</v>
      </c>
      <c r="V25" s="54">
        <f>SUM(V19:V24)</f>
        <v>36626.73057</v>
      </c>
      <c r="W25" s="54">
        <f>SUM(W19:W24)</f>
        <v>37932.057429632958</v>
      </c>
      <c r="X25" s="40">
        <f t="shared" si="28"/>
        <v>-1305.3268596329581</v>
      </c>
      <c r="Y25" s="169">
        <f t="shared" si="4"/>
        <v>-3.4412234613280475E-2</v>
      </c>
      <c r="Z25" s="54">
        <f>SUM(Z19:Z24)</f>
        <v>11038.948446666676</v>
      </c>
      <c r="AA25" s="54">
        <f>SUM(AA19:AA24)</f>
        <v>23490.886044496852</v>
      </c>
      <c r="AB25" s="40">
        <f t="shared" si="29"/>
        <v>-12451.937597830176</v>
      </c>
      <c r="AC25" s="170">
        <f t="shared" si="5"/>
        <v>-0.53007526298682373</v>
      </c>
      <c r="AD25" s="281">
        <f>SUM(AD19:AD24)</f>
        <v>0</v>
      </c>
      <c r="AE25" s="281">
        <f>SUM(AE19:AE24)</f>
        <v>0</v>
      </c>
      <c r="AF25" s="40">
        <f t="shared" si="6"/>
        <v>0</v>
      </c>
      <c r="AG25" s="170">
        <v>0</v>
      </c>
      <c r="AH25" s="315">
        <f>SUM(AH19:AH24)</f>
        <v>0</v>
      </c>
      <c r="AI25" s="315">
        <f>SUM(AI19:AI24)</f>
        <v>0</v>
      </c>
      <c r="AJ25" s="40">
        <f t="shared" si="8"/>
        <v>0</v>
      </c>
      <c r="AK25" s="170">
        <v>0</v>
      </c>
      <c r="AL25" s="171">
        <f>SUM(AL19:AL24)</f>
        <v>11038.948446666676</v>
      </c>
      <c r="AM25" s="171">
        <f>SUM(AM19:AM24)</f>
        <v>23491.231044496853</v>
      </c>
      <c r="AN25" s="40">
        <f t="shared" si="9"/>
        <v>-12452.282597830177</v>
      </c>
      <c r="AO25" s="193">
        <f t="shared" si="10"/>
        <v>-0.53008216445716227</v>
      </c>
      <c r="AP25" s="317"/>
      <c r="AQ25" s="55"/>
      <c r="AR25" s="289">
        <f t="shared" si="11"/>
        <v>0</v>
      </c>
      <c r="AS25" s="289">
        <f t="shared" si="12"/>
        <v>0.34500000000844011</v>
      </c>
      <c r="AT25" s="289">
        <f t="shared" si="13"/>
        <v>0</v>
      </c>
      <c r="AU25" s="289">
        <f t="shared" si="14"/>
        <v>-0.34500000000116415</v>
      </c>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c r="HA25" s="55"/>
      <c r="HB25" s="55"/>
      <c r="HC25" s="55"/>
      <c r="HD25" s="55"/>
      <c r="HE25" s="55"/>
      <c r="HF25" s="55"/>
      <c r="HG25" s="55"/>
      <c r="HH25" s="55"/>
      <c r="HI25" s="55"/>
      <c r="HJ25" s="55"/>
      <c r="HK25" s="55"/>
      <c r="HL25" s="55"/>
      <c r="HM25" s="55"/>
      <c r="HN25" s="55"/>
      <c r="HO25" s="55"/>
      <c r="HP25" s="55"/>
      <c r="HQ25" s="55"/>
      <c r="HR25" s="55"/>
      <c r="HS25" s="55"/>
      <c r="HT25" s="55"/>
      <c r="HU25" s="55"/>
      <c r="HV25" s="55"/>
      <c r="HW25" s="55"/>
      <c r="HX25" s="55"/>
      <c r="HY25" s="55"/>
      <c r="HZ25" s="55"/>
      <c r="IA25" s="55"/>
      <c r="IB25" s="55"/>
      <c r="IC25" s="55"/>
      <c r="ID25" s="55"/>
      <c r="IE25" s="55"/>
      <c r="IF25" s="55"/>
      <c r="IG25" s="55"/>
      <c r="IH25" s="55"/>
      <c r="II25" s="55"/>
      <c r="IJ25" s="55"/>
      <c r="IK25" s="55"/>
      <c r="IL25" s="55"/>
      <c r="IM25" s="55"/>
      <c r="IN25" s="55"/>
      <c r="IO25" s="55"/>
      <c r="IP25" s="55"/>
      <c r="IQ25" s="55"/>
      <c r="IR25" s="55"/>
      <c r="IS25" s="55"/>
      <c r="IT25" s="55"/>
      <c r="IU25" s="55"/>
      <c r="IV25" s="55"/>
      <c r="IW25" s="55"/>
      <c r="IX25" s="55"/>
      <c r="IY25" s="55"/>
      <c r="IZ25" s="55"/>
      <c r="JA25" s="55"/>
      <c r="JB25" s="55"/>
      <c r="JC25" s="55"/>
      <c r="JD25" s="55"/>
      <c r="JE25" s="55"/>
      <c r="JF25" s="55"/>
      <c r="JG25" s="55"/>
      <c r="JH25" s="55"/>
      <c r="JI25" s="55"/>
      <c r="JJ25" s="55"/>
      <c r="JK25" s="55"/>
      <c r="JL25" s="55"/>
      <c r="JM25" s="55"/>
      <c r="JN25" s="55"/>
      <c r="JO25" s="55"/>
      <c r="JP25" s="55"/>
      <c r="JQ25" s="55"/>
      <c r="JR25" s="55"/>
      <c r="JS25" s="55"/>
      <c r="JT25" s="55"/>
      <c r="JU25" s="55"/>
      <c r="JV25" s="55"/>
      <c r="JW25" s="55"/>
      <c r="JX25" s="55"/>
      <c r="JY25" s="55"/>
      <c r="JZ25" s="55"/>
      <c r="KA25" s="55"/>
      <c r="KB25" s="55"/>
      <c r="KC25" s="55"/>
      <c r="KD25" s="55"/>
      <c r="KE25" s="55"/>
      <c r="KF25" s="55"/>
      <c r="KG25" s="55"/>
      <c r="KH25" s="55"/>
      <c r="KI25" s="55"/>
      <c r="KJ25" s="55"/>
      <c r="KK25" s="55"/>
      <c r="KL25" s="55"/>
      <c r="KM25" s="55"/>
      <c r="KN25" s="55"/>
      <c r="KO25" s="55"/>
      <c r="KP25" s="55"/>
      <c r="KQ25" s="55"/>
      <c r="KR25" s="55"/>
      <c r="KS25" s="55"/>
      <c r="KT25" s="55"/>
      <c r="KU25" s="55"/>
      <c r="KV25" s="55"/>
      <c r="KW25" s="55"/>
      <c r="KX25" s="55"/>
      <c r="KY25" s="55"/>
      <c r="KZ25" s="55"/>
      <c r="LA25" s="55"/>
      <c r="LB25" s="55"/>
      <c r="LC25" s="55"/>
      <c r="LD25" s="55"/>
      <c r="LE25" s="55"/>
      <c r="LF25" s="55"/>
      <c r="LG25" s="55"/>
      <c r="LH25" s="55"/>
      <c r="LI25" s="55"/>
      <c r="LJ25" s="55"/>
      <c r="LK25" s="55"/>
      <c r="LL25" s="55"/>
      <c r="LM25" s="55"/>
      <c r="LN25" s="55"/>
      <c r="LO25" s="55"/>
      <c r="LP25" s="55"/>
      <c r="LQ25" s="55"/>
      <c r="LR25" s="55"/>
      <c r="LS25" s="55"/>
      <c r="LT25" s="55"/>
      <c r="LU25" s="55"/>
      <c r="LV25" s="55"/>
      <c r="LW25" s="55"/>
      <c r="LX25" s="55"/>
      <c r="LY25" s="55"/>
      <c r="LZ25" s="55"/>
      <c r="MA25" s="55"/>
      <c r="MB25" s="55"/>
      <c r="MC25" s="55"/>
      <c r="MD25" s="55"/>
      <c r="ME25" s="55"/>
      <c r="MF25" s="55"/>
      <c r="MG25" s="55"/>
      <c r="MH25" s="55"/>
      <c r="MI25" s="55"/>
      <c r="MJ25" s="55"/>
      <c r="MK25" s="55"/>
      <c r="ML25" s="55"/>
      <c r="MM25" s="55"/>
      <c r="MN25" s="55"/>
      <c r="MO25" s="55"/>
      <c r="MP25" s="55"/>
      <c r="MQ25" s="55"/>
      <c r="MR25" s="55"/>
      <c r="MS25" s="55"/>
      <c r="MT25" s="55"/>
      <c r="MU25" s="55"/>
      <c r="MV25" s="55"/>
      <c r="MW25" s="55"/>
      <c r="MX25" s="55"/>
      <c r="MY25" s="55"/>
      <c r="MZ25" s="55"/>
      <c r="NA25" s="55"/>
      <c r="NB25" s="55"/>
      <c r="NC25" s="55"/>
      <c r="ND25" s="55"/>
      <c r="NE25" s="55"/>
      <c r="NF25" s="55"/>
      <c r="NG25" s="55"/>
      <c r="NH25" s="55"/>
      <c r="NI25" s="55"/>
      <c r="NJ25" s="55"/>
      <c r="NK25" s="55"/>
      <c r="NL25" s="55"/>
      <c r="NM25" s="55"/>
      <c r="NN25" s="55"/>
      <c r="NO25" s="55"/>
      <c r="NP25" s="55"/>
      <c r="NQ25" s="55"/>
      <c r="NR25" s="55"/>
      <c r="NS25" s="55"/>
      <c r="NT25" s="55"/>
      <c r="NU25" s="55"/>
      <c r="NV25" s="55"/>
      <c r="NW25" s="55"/>
      <c r="NX25" s="55"/>
      <c r="NY25" s="55"/>
      <c r="NZ25" s="55"/>
      <c r="OA25" s="55"/>
      <c r="OB25" s="55"/>
      <c r="OC25" s="55"/>
      <c r="OD25" s="55"/>
      <c r="OE25" s="55"/>
      <c r="OF25" s="55"/>
      <c r="OG25" s="55"/>
      <c r="OH25" s="55"/>
      <c r="OI25" s="55"/>
      <c r="OJ25" s="55"/>
      <c r="OK25" s="55"/>
      <c r="OL25" s="55"/>
      <c r="OM25" s="55"/>
      <c r="ON25" s="55"/>
      <c r="OO25" s="55"/>
      <c r="OP25" s="55"/>
      <c r="OQ25" s="55"/>
      <c r="OR25" s="55"/>
      <c r="OS25" s="55"/>
      <c r="OT25" s="55"/>
      <c r="OU25" s="55"/>
      <c r="OV25" s="55"/>
      <c r="OW25" s="55"/>
      <c r="OX25" s="55"/>
      <c r="OY25" s="55"/>
      <c r="OZ25" s="55"/>
      <c r="PA25" s="55"/>
      <c r="PB25" s="55"/>
      <c r="PC25" s="55"/>
      <c r="PD25" s="55"/>
      <c r="PE25" s="55"/>
      <c r="PF25" s="55"/>
      <c r="PG25" s="55"/>
      <c r="PH25" s="55"/>
      <c r="PI25" s="55"/>
      <c r="PJ25" s="55"/>
      <c r="PK25" s="55"/>
      <c r="PL25" s="55"/>
      <c r="PM25" s="55"/>
      <c r="PN25" s="55"/>
      <c r="PO25" s="55"/>
      <c r="PP25" s="55"/>
      <c r="PQ25" s="55"/>
      <c r="PR25" s="55"/>
      <c r="PS25" s="55"/>
      <c r="PT25" s="55"/>
      <c r="PU25" s="55"/>
      <c r="PV25" s="55"/>
      <c r="PW25" s="55"/>
      <c r="PX25" s="55"/>
      <c r="PY25" s="55"/>
      <c r="PZ25" s="55"/>
      <c r="QA25" s="55"/>
      <c r="QB25" s="55"/>
      <c r="QC25" s="55"/>
      <c r="QD25" s="55"/>
      <c r="QE25" s="55"/>
      <c r="QF25" s="55"/>
      <c r="QG25" s="55"/>
      <c r="QH25" s="55"/>
      <c r="QI25" s="55"/>
      <c r="QJ25" s="55"/>
      <c r="QK25" s="55"/>
      <c r="QL25" s="55"/>
      <c r="QM25" s="55"/>
      <c r="QN25" s="55"/>
      <c r="QO25" s="55"/>
      <c r="QP25" s="55"/>
      <c r="QQ25" s="55"/>
      <c r="QR25" s="55"/>
      <c r="QS25" s="55"/>
      <c r="QT25" s="55"/>
      <c r="QU25" s="55"/>
      <c r="QV25" s="55"/>
      <c r="QW25" s="55"/>
      <c r="QX25" s="55"/>
      <c r="QY25" s="55"/>
      <c r="QZ25" s="55"/>
      <c r="RA25" s="55"/>
      <c r="RB25" s="55"/>
      <c r="RC25" s="55"/>
      <c r="RD25" s="55"/>
      <c r="RE25" s="55"/>
      <c r="RF25" s="55"/>
      <c r="RG25" s="55"/>
      <c r="RH25" s="55"/>
      <c r="RI25" s="55"/>
      <c r="RJ25" s="55"/>
      <c r="RK25" s="55"/>
      <c r="RL25" s="55"/>
      <c r="RM25" s="55"/>
      <c r="RN25" s="55"/>
      <c r="RO25" s="55"/>
      <c r="RP25" s="55"/>
      <c r="RQ25" s="55"/>
      <c r="RR25" s="55"/>
      <c r="RS25" s="55"/>
      <c r="RT25" s="55"/>
      <c r="RU25" s="55"/>
      <c r="RV25" s="55"/>
      <c r="RW25" s="55"/>
      <c r="RX25" s="55"/>
      <c r="RY25" s="55"/>
      <c r="RZ25" s="55"/>
      <c r="SA25" s="55"/>
      <c r="SB25" s="55"/>
      <c r="SC25" s="55"/>
      <c r="SD25" s="55"/>
      <c r="SE25" s="55"/>
      <c r="SF25" s="55"/>
      <c r="SG25" s="55"/>
      <c r="SH25" s="55"/>
      <c r="SI25" s="55"/>
      <c r="SJ25" s="55"/>
      <c r="SK25" s="55"/>
      <c r="SL25" s="55"/>
      <c r="SM25" s="55"/>
      <c r="SN25" s="55"/>
      <c r="SO25" s="55"/>
      <c r="SP25" s="55"/>
      <c r="SQ25" s="55"/>
      <c r="SR25" s="55"/>
      <c r="SS25" s="55"/>
      <c r="ST25" s="55"/>
      <c r="SU25" s="55"/>
      <c r="SV25" s="55"/>
      <c r="SW25" s="55"/>
      <c r="SX25" s="55"/>
      <c r="SY25" s="55"/>
      <c r="SZ25" s="55"/>
      <c r="TA25" s="55"/>
      <c r="TB25" s="55"/>
      <c r="TC25" s="55"/>
      <c r="TD25" s="55"/>
      <c r="TE25" s="55"/>
      <c r="TF25" s="55"/>
      <c r="TG25" s="55"/>
      <c r="TH25" s="55"/>
      <c r="TI25" s="55"/>
      <c r="TJ25" s="55"/>
      <c r="TK25" s="55"/>
      <c r="TL25" s="55"/>
      <c r="TM25" s="55"/>
      <c r="TN25" s="55"/>
      <c r="TO25" s="55"/>
      <c r="TP25" s="55"/>
      <c r="TQ25" s="55"/>
      <c r="TR25" s="55"/>
      <c r="TS25" s="55"/>
      <c r="TT25" s="55"/>
      <c r="TU25" s="55"/>
      <c r="TV25" s="55"/>
      <c r="TW25" s="55"/>
      <c r="TX25" s="55"/>
      <c r="TY25" s="55"/>
      <c r="TZ25" s="55"/>
      <c r="UA25" s="55"/>
      <c r="UB25" s="55"/>
      <c r="UC25" s="55"/>
      <c r="UD25" s="55"/>
      <c r="UE25" s="55"/>
      <c r="UF25" s="55"/>
      <c r="UG25" s="55"/>
      <c r="UH25" s="55"/>
      <c r="UI25" s="55"/>
      <c r="UJ25" s="55"/>
      <c r="UK25" s="55"/>
      <c r="UL25" s="55"/>
      <c r="UM25" s="55"/>
      <c r="UN25" s="55"/>
      <c r="UO25" s="55"/>
      <c r="UP25" s="55"/>
      <c r="UQ25" s="55"/>
      <c r="UR25" s="55"/>
      <c r="US25" s="55"/>
      <c r="UT25" s="55"/>
      <c r="UU25" s="55"/>
      <c r="UV25" s="55"/>
      <c r="UW25" s="55"/>
      <c r="UX25" s="55"/>
      <c r="UY25" s="55"/>
      <c r="UZ25" s="55"/>
      <c r="VA25" s="55"/>
      <c r="VB25" s="55"/>
      <c r="VC25" s="55"/>
      <c r="VD25" s="55"/>
      <c r="VE25" s="55"/>
      <c r="VF25" s="55"/>
      <c r="VG25" s="55"/>
      <c r="VH25" s="55"/>
      <c r="VI25" s="55"/>
      <c r="VJ25" s="55"/>
      <c r="VK25" s="55"/>
      <c r="VL25" s="55"/>
      <c r="VM25" s="55"/>
      <c r="VN25" s="55"/>
      <c r="VO25" s="55"/>
      <c r="VP25" s="55"/>
      <c r="VQ25" s="55"/>
      <c r="VR25" s="55"/>
      <c r="VS25" s="55"/>
      <c r="VT25" s="55"/>
      <c r="VU25" s="55"/>
      <c r="VV25" s="55"/>
      <c r="VW25" s="55"/>
      <c r="VX25" s="55"/>
      <c r="VY25" s="55"/>
      <c r="VZ25" s="55"/>
      <c r="WA25" s="55"/>
      <c r="WB25" s="55"/>
      <c r="WC25" s="55"/>
      <c r="WD25" s="55"/>
      <c r="WE25" s="55"/>
      <c r="WF25" s="55"/>
      <c r="WG25" s="55"/>
      <c r="WH25" s="55"/>
      <c r="WI25" s="55"/>
      <c r="WJ25" s="55"/>
      <c r="WK25" s="55"/>
      <c r="WL25" s="55"/>
      <c r="WM25" s="55"/>
      <c r="WN25" s="55"/>
      <c r="WO25" s="55"/>
      <c r="WP25" s="55"/>
      <c r="WQ25" s="55"/>
      <c r="WR25" s="55"/>
      <c r="WS25" s="55"/>
      <c r="WT25" s="55"/>
      <c r="WU25" s="55"/>
      <c r="WV25" s="55"/>
      <c r="WW25" s="55"/>
      <c r="WX25" s="55"/>
      <c r="WY25" s="55"/>
      <c r="WZ25" s="55"/>
      <c r="XA25" s="55"/>
      <c r="XB25" s="55"/>
      <c r="XC25" s="55"/>
      <c r="XD25" s="55"/>
      <c r="XE25" s="55"/>
      <c r="XF25" s="55"/>
      <c r="XG25" s="55"/>
      <c r="XH25" s="55"/>
      <c r="XI25" s="55"/>
      <c r="XJ25" s="55"/>
      <c r="XK25" s="55"/>
      <c r="XL25" s="55"/>
      <c r="XM25" s="55"/>
      <c r="XN25" s="55"/>
      <c r="XO25" s="55"/>
      <c r="XP25" s="55"/>
      <c r="XQ25" s="55"/>
      <c r="XR25" s="55"/>
      <c r="XS25" s="55"/>
      <c r="XT25" s="55"/>
      <c r="XU25" s="55"/>
      <c r="XV25" s="55"/>
      <c r="XW25" s="55"/>
      <c r="XX25" s="55"/>
      <c r="XY25" s="55"/>
      <c r="XZ25" s="55"/>
      <c r="YA25" s="55"/>
      <c r="YB25" s="55"/>
      <c r="YC25" s="55"/>
      <c r="YD25" s="55"/>
      <c r="YE25" s="55"/>
      <c r="YF25" s="55"/>
      <c r="YG25" s="55"/>
      <c r="YH25" s="55"/>
      <c r="YI25" s="55"/>
      <c r="YJ25" s="55"/>
      <c r="YK25" s="55"/>
      <c r="YL25" s="55"/>
      <c r="YM25" s="55"/>
      <c r="YN25" s="55"/>
      <c r="YO25" s="55"/>
      <c r="YP25" s="55"/>
      <c r="YQ25" s="55"/>
      <c r="YR25" s="55"/>
      <c r="YS25" s="55"/>
      <c r="YT25" s="55"/>
      <c r="YU25" s="55"/>
      <c r="YV25" s="55"/>
      <c r="YW25" s="55"/>
      <c r="YX25" s="55"/>
      <c r="YY25" s="55"/>
      <c r="YZ25" s="55"/>
      <c r="ZA25" s="55"/>
      <c r="ZB25" s="55"/>
      <c r="ZC25" s="55"/>
      <c r="ZD25" s="55"/>
      <c r="ZE25" s="55"/>
      <c r="ZF25" s="55"/>
      <c r="ZG25" s="55"/>
      <c r="ZH25" s="55"/>
      <c r="ZI25" s="55"/>
      <c r="ZJ25" s="55"/>
      <c r="ZK25" s="55"/>
      <c r="ZL25" s="55"/>
      <c r="ZM25" s="55"/>
      <c r="ZN25" s="55"/>
      <c r="ZO25" s="55"/>
      <c r="ZP25" s="55"/>
      <c r="ZQ25" s="55"/>
      <c r="ZR25" s="55"/>
      <c r="ZS25" s="55"/>
      <c r="ZT25" s="55"/>
      <c r="ZU25" s="55"/>
      <c r="ZV25" s="55"/>
      <c r="ZW25" s="55"/>
      <c r="ZX25" s="55"/>
      <c r="ZY25" s="55"/>
      <c r="ZZ25" s="55"/>
      <c r="AAA25" s="55"/>
      <c r="AAB25" s="55"/>
      <c r="AAC25" s="55"/>
      <c r="AAD25" s="55"/>
      <c r="AAE25" s="55"/>
      <c r="AAF25" s="55"/>
      <c r="AAG25" s="55"/>
      <c r="AAH25" s="55"/>
      <c r="AAI25" s="55"/>
      <c r="AAJ25" s="55"/>
      <c r="AAK25" s="55"/>
      <c r="AAL25" s="55"/>
      <c r="AAM25" s="55"/>
      <c r="AAN25" s="55"/>
      <c r="AAO25" s="55"/>
      <c r="AAP25" s="55"/>
      <c r="AAQ25" s="55"/>
      <c r="AAR25" s="55"/>
      <c r="AAS25" s="55"/>
      <c r="AAT25" s="55"/>
      <c r="AAU25" s="55"/>
      <c r="AAV25" s="55"/>
      <c r="AAW25" s="55"/>
      <c r="AAX25" s="55"/>
      <c r="AAY25" s="55"/>
      <c r="AAZ25" s="55"/>
      <c r="ABA25" s="55"/>
      <c r="ABB25" s="55"/>
      <c r="ABC25" s="55"/>
    </row>
    <row r="26" spans="1:731" ht="15" customHeight="1" x14ac:dyDescent="0.3">
      <c r="A26" s="407" t="s">
        <v>31</v>
      </c>
      <c r="B26" s="435"/>
      <c r="C26" s="299"/>
      <c r="D26" s="45" t="s">
        <v>13</v>
      </c>
      <c r="E26" s="46" t="s">
        <v>32</v>
      </c>
      <c r="F26" s="11">
        <f>J26/$F$2</f>
        <v>330.38384717866137</v>
      </c>
      <c r="G26" s="16">
        <f>K26/$F$2</f>
        <v>354.18711278466952</v>
      </c>
      <c r="H26" s="13">
        <f t="shared" si="24"/>
        <v>-23.803265606008154</v>
      </c>
      <c r="I26" s="49">
        <f t="shared" si="1"/>
        <v>-6.7205340755804158E-2</v>
      </c>
      <c r="J26" s="15">
        <f>'[86]Lubricant Cluster 1 Summary'!$H$5</f>
        <v>98629.884619999997</v>
      </c>
      <c r="K26" s="16">
        <f>'[86]Lubricant Cluster 1 Summary'!$I$5</f>
        <v>105735.90194</v>
      </c>
      <c r="L26" s="13">
        <f t="shared" si="25"/>
        <v>-7106.017319999999</v>
      </c>
      <c r="M26" s="49">
        <f t="shared" si="21"/>
        <v>-6.7205340755804213E-2</v>
      </c>
      <c r="N26" s="15">
        <f>'[86]Lubricant Cluster 1 Summary'!$L$5</f>
        <v>98629.884619999997</v>
      </c>
      <c r="O26" s="16">
        <f>'[86]Lubricant Cluster 1 Summary'!$M$5</f>
        <v>105735.90194</v>
      </c>
      <c r="P26" s="13">
        <f t="shared" si="26"/>
        <v>-7106.017319999999</v>
      </c>
      <c r="Q26" s="49">
        <f t="shared" si="2"/>
        <v>-6.7205340755804213E-2</v>
      </c>
      <c r="R26" s="15">
        <f>'[86]Lubricant Cluster 1 Summary'!$R$5</f>
        <v>453.93202999999994</v>
      </c>
      <c r="S26" s="16">
        <f>'[86]Lubricant Cluster 1 Summary'!$S$5</f>
        <v>120</v>
      </c>
      <c r="T26" s="13">
        <f t="shared" si="27"/>
        <v>333.93202999999994</v>
      </c>
      <c r="U26" s="49">
        <f t="shared" si="30"/>
        <v>2.7827669166666662</v>
      </c>
      <c r="V26" s="15">
        <f>'[86]Lubricant Cluster 1 Summary'!$V$5</f>
        <v>84731.70196999998</v>
      </c>
      <c r="W26" s="16">
        <f>'[86]Lubricant Cluster 1 Summary'!$W$5</f>
        <v>100977.98592000001</v>
      </c>
      <c r="X26" s="13">
        <f t="shared" si="28"/>
        <v>-16246.283950000026</v>
      </c>
      <c r="Y26" s="49">
        <f t="shared" si="4"/>
        <v>-0.16088936417162425</v>
      </c>
      <c r="Z26" s="15">
        <f>'[86]Lubricant Cluster 1 Summary'!$AD$5</f>
        <v>14352.114680000006</v>
      </c>
      <c r="AA26" s="16">
        <f>'[86]Lubricant Cluster 1 Summary'!$AE$5</f>
        <v>4877.916019999996</v>
      </c>
      <c r="AB26" s="13">
        <f t="shared" si="29"/>
        <v>9474.1986600000091</v>
      </c>
      <c r="AC26" s="50">
        <f t="shared" si="5"/>
        <v>1.9422635857515269</v>
      </c>
      <c r="AD26" s="292">
        <f>'[86]Lubricant Cluster 1 Summary'!$AJ$5</f>
        <v>6299.1864600000008</v>
      </c>
      <c r="AE26" s="190">
        <f>'[86]Lubricant Cluster 1 Summary'!$AK$5</f>
        <v>6211.8499400000001</v>
      </c>
      <c r="AF26" s="108">
        <f t="shared" si="6"/>
        <v>87.336520000000746</v>
      </c>
      <c r="AG26" s="188">
        <f t="shared" ref="AG26:AG27" si="31">IFERROR(IF(AE26&lt;0,-(AD26-AE26)/AE26,(AD26-AE26)/AE26),"")</f>
        <v>1.4059663521105718E-2</v>
      </c>
      <c r="AH26" s="194">
        <f>0</f>
        <v>0</v>
      </c>
      <c r="AI26" s="195">
        <v>0</v>
      </c>
      <c r="AJ26" s="108">
        <f t="shared" si="8"/>
        <v>0</v>
      </c>
      <c r="AK26" s="50">
        <v>0</v>
      </c>
      <c r="AL26" s="314">
        <f>'[86]Lubricant Cluster 1 Summary'!$AR$5</f>
        <v>8052.9282200000052</v>
      </c>
      <c r="AM26" s="294">
        <f>'[86]Lubricant Cluster 1 Summary'!$AS$5</f>
        <v>-1333.933920000004</v>
      </c>
      <c r="AN26" s="13">
        <f t="shared" si="9"/>
        <v>9386.8621400000084</v>
      </c>
      <c r="AO26" s="300">
        <f t="shared" si="10"/>
        <v>7.0369768691390497</v>
      </c>
      <c r="AP26" s="111" t="s">
        <v>141</v>
      </c>
      <c r="AQ26" s="22"/>
      <c r="AR26" s="1">
        <f>(N26+R26-V26)-Z26</f>
        <v>0</v>
      </c>
      <c r="AS26" s="1">
        <f t="shared" si="12"/>
        <v>0</v>
      </c>
      <c r="AT26" s="1">
        <f t="shared" si="13"/>
        <v>0</v>
      </c>
      <c r="AU26" s="1">
        <f t="shared" si="14"/>
        <v>0</v>
      </c>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c r="IT26" s="22"/>
      <c r="IU26" s="22"/>
      <c r="IV26" s="22"/>
      <c r="IW26" s="22"/>
      <c r="IX26" s="22"/>
      <c r="IY26" s="22"/>
      <c r="IZ26" s="22"/>
      <c r="JA26" s="22"/>
      <c r="JB26" s="22"/>
      <c r="JC26" s="22"/>
      <c r="JD26" s="22"/>
      <c r="JE26" s="22"/>
      <c r="JJ26" s="22"/>
      <c r="JK26" s="22"/>
      <c r="JL26" s="22"/>
      <c r="JM26" s="22"/>
      <c r="JN26" s="22"/>
      <c r="JO26" s="22"/>
      <c r="JP26" s="22"/>
      <c r="JQ26" s="22"/>
      <c r="JR26" s="22"/>
      <c r="JS26" s="22"/>
      <c r="JT26" s="22"/>
      <c r="JU26" s="22"/>
      <c r="JV26" s="22"/>
      <c r="JW26" s="22"/>
      <c r="JX26" s="22"/>
      <c r="JY26" s="22"/>
      <c r="JZ26" s="22"/>
      <c r="KA26" s="22"/>
      <c r="KB26" s="22"/>
      <c r="KC26" s="22"/>
      <c r="KD26" s="22"/>
      <c r="KE26" s="22"/>
      <c r="KF26" s="22"/>
      <c r="KG26" s="22"/>
      <c r="KH26" s="22"/>
      <c r="KI26" s="22"/>
      <c r="KJ26" s="22"/>
      <c r="KK26" s="22"/>
      <c r="KL26" s="22"/>
      <c r="KM26" s="22"/>
      <c r="KN26" s="22"/>
      <c r="KO26" s="22"/>
      <c r="KP26" s="22"/>
      <c r="KQ26" s="22"/>
      <c r="KR26" s="22"/>
      <c r="KS26" s="22"/>
      <c r="KT26" s="22"/>
      <c r="KU26" s="22"/>
      <c r="KV26" s="22"/>
      <c r="KW26" s="22"/>
      <c r="KX26" s="22"/>
      <c r="KY26" s="22"/>
      <c r="KZ26" s="22"/>
      <c r="LA26" s="22"/>
      <c r="LB26" s="22"/>
      <c r="LC26" s="22"/>
      <c r="LD26" s="22"/>
      <c r="LE26" s="22"/>
      <c r="LF26" s="22"/>
      <c r="LG26" s="22"/>
      <c r="LH26" s="22"/>
      <c r="LI26" s="22"/>
      <c r="LJ26" s="22"/>
      <c r="LK26" s="22"/>
      <c r="LL26" s="22"/>
      <c r="LM26" s="22"/>
      <c r="LN26" s="22"/>
      <c r="LO26" s="22"/>
      <c r="LP26" s="22"/>
      <c r="LQ26" s="22"/>
      <c r="LR26" s="22"/>
      <c r="LS26" s="22"/>
      <c r="LT26" s="22"/>
      <c r="LU26" s="22"/>
      <c r="LV26" s="22"/>
      <c r="LW26" s="22"/>
      <c r="LX26" s="22"/>
      <c r="LY26" s="22"/>
      <c r="LZ26" s="22"/>
      <c r="MA26" s="22"/>
      <c r="MB26" s="22"/>
      <c r="MC26" s="22"/>
      <c r="MD26" s="22"/>
      <c r="ME26" s="22"/>
      <c r="MF26" s="22"/>
      <c r="MG26" s="22"/>
      <c r="MH26" s="22"/>
      <c r="MI26" s="22"/>
      <c r="MJ26" s="22"/>
      <c r="MK26" s="22"/>
      <c r="ML26" s="22"/>
      <c r="MM26" s="22"/>
      <c r="MN26" s="22"/>
      <c r="MO26" s="22"/>
      <c r="MP26" s="22"/>
      <c r="MQ26" s="22"/>
      <c r="MR26" s="22"/>
      <c r="MS26" s="22"/>
      <c r="MT26" s="22"/>
      <c r="MU26" s="22"/>
      <c r="MV26" s="22"/>
      <c r="MW26" s="22"/>
      <c r="MX26" s="22"/>
      <c r="MY26" s="22"/>
      <c r="MZ26" s="22"/>
      <c r="NA26" s="22"/>
      <c r="NB26" s="22"/>
      <c r="NC26" s="22"/>
      <c r="ND26" s="22"/>
      <c r="NE26" s="22"/>
      <c r="NF26" s="22"/>
      <c r="NG26" s="22"/>
      <c r="NH26" s="22"/>
      <c r="NI26" s="22"/>
      <c r="NJ26" s="22"/>
      <c r="NK26" s="22"/>
      <c r="NL26" s="22"/>
      <c r="NM26" s="22"/>
      <c r="NN26" s="22"/>
      <c r="NO26" s="22"/>
      <c r="NP26" s="22"/>
      <c r="NQ26" s="22"/>
      <c r="NR26" s="22"/>
      <c r="NS26" s="22"/>
      <c r="NT26" s="22"/>
      <c r="NU26" s="22"/>
      <c r="NV26" s="22"/>
      <c r="NW26" s="22"/>
      <c r="NX26" s="22"/>
      <c r="NY26" s="22"/>
      <c r="NZ26" s="22"/>
      <c r="OA26" s="22"/>
      <c r="OB26" s="22"/>
      <c r="OC26" s="22"/>
      <c r="OD26" s="22"/>
      <c r="OE26" s="22"/>
      <c r="OF26" s="22"/>
      <c r="OG26" s="22"/>
      <c r="OH26" s="22"/>
      <c r="OI26" s="22"/>
      <c r="OJ26" s="22"/>
      <c r="OK26" s="22"/>
      <c r="OL26" s="22"/>
      <c r="OM26" s="22"/>
      <c r="ON26" s="22"/>
      <c r="OO26" s="22"/>
      <c r="OP26" s="22"/>
      <c r="OQ26" s="22"/>
      <c r="OR26" s="22"/>
      <c r="OS26" s="22"/>
      <c r="OT26" s="22"/>
      <c r="OU26" s="22"/>
      <c r="OV26" s="22"/>
      <c r="OW26" s="22"/>
      <c r="OX26" s="22"/>
      <c r="OY26" s="22"/>
      <c r="OZ26" s="22"/>
      <c r="PA26" s="22"/>
      <c r="PB26" s="22"/>
      <c r="PC26" s="22"/>
      <c r="PD26" s="22"/>
      <c r="PE26" s="22"/>
      <c r="PF26" s="22"/>
      <c r="PG26" s="22"/>
      <c r="PH26" s="22"/>
      <c r="PI26" s="22"/>
      <c r="PJ26" s="22"/>
      <c r="PK26" s="22"/>
      <c r="PL26" s="22"/>
      <c r="PM26" s="22"/>
      <c r="PN26" s="22"/>
      <c r="PO26" s="22"/>
      <c r="PP26" s="22"/>
      <c r="PQ26" s="22"/>
      <c r="PR26" s="22"/>
      <c r="PS26" s="22"/>
      <c r="PT26" s="22"/>
      <c r="PU26" s="22"/>
      <c r="PV26" s="22"/>
      <c r="PW26" s="22"/>
      <c r="PX26" s="22"/>
      <c r="PY26" s="22"/>
      <c r="PZ26" s="22"/>
      <c r="QA26" s="22"/>
      <c r="QB26" s="22"/>
      <c r="QC26" s="22"/>
      <c r="QD26" s="22"/>
      <c r="QE26" s="22"/>
      <c r="QF26" s="22"/>
      <c r="QG26" s="22"/>
      <c r="QH26" s="22"/>
      <c r="QI26" s="22"/>
      <c r="QJ26" s="22"/>
      <c r="QK26" s="22"/>
      <c r="QL26" s="22"/>
      <c r="QM26" s="22"/>
      <c r="QN26" s="22"/>
      <c r="QO26" s="22"/>
      <c r="QP26" s="22"/>
      <c r="QQ26" s="22"/>
      <c r="QR26" s="22"/>
      <c r="QS26" s="22"/>
      <c r="QT26" s="22"/>
      <c r="QU26" s="22"/>
      <c r="QV26" s="22"/>
      <c r="QW26" s="22"/>
      <c r="QX26" s="22"/>
      <c r="QY26" s="22"/>
      <c r="QZ26" s="22"/>
      <c r="RA26" s="22"/>
      <c r="RB26" s="22"/>
      <c r="RC26" s="22"/>
      <c r="RD26" s="22"/>
      <c r="RE26" s="22"/>
      <c r="RF26" s="22"/>
      <c r="RG26" s="22"/>
      <c r="RH26" s="22"/>
      <c r="RI26" s="22"/>
      <c r="RJ26" s="22"/>
      <c r="RK26" s="22"/>
      <c r="RL26" s="22"/>
      <c r="RM26" s="22"/>
      <c r="RN26" s="22"/>
      <c r="RO26" s="22"/>
      <c r="RP26" s="22"/>
      <c r="RQ26" s="22"/>
      <c r="RR26" s="22"/>
      <c r="RS26" s="22"/>
      <c r="RT26" s="22"/>
      <c r="RU26" s="22"/>
      <c r="RV26" s="22"/>
      <c r="RW26" s="22"/>
      <c r="RX26" s="22"/>
      <c r="RY26" s="22"/>
      <c r="RZ26" s="22"/>
      <c r="SA26" s="22"/>
      <c r="SB26" s="22"/>
      <c r="SC26" s="22"/>
      <c r="SD26" s="22"/>
      <c r="SE26" s="22"/>
      <c r="SF26" s="22"/>
      <c r="SG26" s="22"/>
      <c r="SH26" s="22"/>
      <c r="SI26" s="22"/>
      <c r="SJ26" s="22"/>
      <c r="SK26" s="22"/>
      <c r="SL26" s="22"/>
      <c r="SM26" s="22"/>
      <c r="SN26" s="22"/>
      <c r="SO26" s="22"/>
      <c r="SP26" s="22"/>
      <c r="SQ26" s="22"/>
      <c r="SR26" s="22"/>
      <c r="SS26" s="22"/>
      <c r="ST26" s="22"/>
      <c r="SU26" s="22"/>
      <c r="SV26" s="22"/>
      <c r="SW26" s="22"/>
      <c r="SX26" s="22"/>
      <c r="SY26" s="22"/>
      <c r="SZ26" s="22"/>
      <c r="TA26" s="22"/>
      <c r="TB26" s="22"/>
      <c r="TC26" s="22"/>
      <c r="TD26" s="22"/>
      <c r="TE26" s="22"/>
      <c r="TF26" s="22"/>
      <c r="TG26" s="22"/>
      <c r="TH26" s="22"/>
      <c r="TI26" s="22"/>
      <c r="TJ26" s="22"/>
      <c r="TK26" s="22"/>
      <c r="TL26" s="22"/>
      <c r="TM26" s="22"/>
      <c r="TN26" s="22"/>
      <c r="TO26" s="22"/>
      <c r="TP26" s="22"/>
      <c r="TQ26" s="22"/>
      <c r="TR26" s="22"/>
      <c r="TS26" s="22"/>
      <c r="TT26" s="22"/>
      <c r="TU26" s="22"/>
      <c r="TV26" s="22"/>
      <c r="TW26" s="22"/>
      <c r="TX26" s="22"/>
      <c r="TY26" s="22"/>
      <c r="TZ26" s="22"/>
      <c r="UA26" s="22"/>
      <c r="UB26" s="22"/>
      <c r="UC26" s="22"/>
      <c r="UD26" s="22"/>
      <c r="UE26" s="22"/>
      <c r="UF26" s="22"/>
      <c r="UG26" s="22"/>
      <c r="UH26" s="22"/>
      <c r="UI26" s="22"/>
      <c r="UJ26" s="22"/>
      <c r="UK26" s="22"/>
      <c r="UL26" s="22"/>
      <c r="UM26" s="22"/>
      <c r="UN26" s="22"/>
      <c r="UO26" s="22"/>
      <c r="UP26" s="22"/>
      <c r="UQ26" s="22"/>
      <c r="UR26" s="22"/>
      <c r="US26" s="22"/>
      <c r="UT26" s="22"/>
      <c r="UU26" s="22"/>
      <c r="UV26" s="22"/>
      <c r="UW26" s="22"/>
      <c r="UX26" s="22"/>
      <c r="UY26" s="22"/>
      <c r="UZ26" s="22"/>
      <c r="VA26" s="22"/>
      <c r="VB26" s="22"/>
      <c r="VC26" s="22"/>
      <c r="VD26" s="22"/>
      <c r="VE26" s="22"/>
      <c r="VF26" s="22"/>
      <c r="VG26" s="22"/>
      <c r="VH26" s="22"/>
      <c r="VI26" s="22"/>
      <c r="VJ26" s="22"/>
      <c r="VK26" s="22"/>
      <c r="VL26" s="22"/>
      <c r="VM26" s="22"/>
      <c r="VN26" s="22"/>
      <c r="VO26" s="22"/>
      <c r="VP26" s="22"/>
      <c r="VQ26" s="22"/>
      <c r="VR26" s="22"/>
      <c r="VS26" s="22"/>
      <c r="VT26" s="22"/>
      <c r="VU26" s="22"/>
      <c r="VV26" s="22"/>
      <c r="VW26" s="22"/>
      <c r="VX26" s="22"/>
      <c r="VY26" s="22"/>
      <c r="VZ26" s="22"/>
      <c r="WA26" s="22"/>
      <c r="WB26" s="22"/>
      <c r="WC26" s="22"/>
      <c r="WD26" s="22"/>
      <c r="WE26" s="22"/>
      <c r="WF26" s="22"/>
      <c r="WG26" s="22"/>
      <c r="WH26" s="22"/>
      <c r="WI26" s="22"/>
      <c r="WJ26" s="22"/>
      <c r="WK26" s="22"/>
      <c r="WL26" s="22"/>
      <c r="WM26" s="22"/>
      <c r="WN26" s="22"/>
      <c r="WO26" s="22"/>
      <c r="WP26" s="22"/>
      <c r="WQ26" s="22"/>
      <c r="WR26" s="22"/>
      <c r="WS26" s="22"/>
      <c r="WT26" s="22"/>
      <c r="WU26" s="22"/>
      <c r="WV26" s="22"/>
      <c r="WW26" s="22"/>
      <c r="WX26" s="22"/>
      <c r="WY26" s="22"/>
      <c r="WZ26" s="22"/>
      <c r="XA26" s="22"/>
      <c r="XB26" s="22"/>
      <c r="XC26" s="22"/>
      <c r="XD26" s="22"/>
      <c r="XE26" s="22"/>
      <c r="XF26" s="22"/>
      <c r="XG26" s="22"/>
      <c r="XH26" s="22"/>
      <c r="XI26" s="22"/>
      <c r="XJ26" s="22"/>
      <c r="XK26" s="22"/>
      <c r="XL26" s="22"/>
      <c r="XM26" s="22"/>
      <c r="XN26" s="22"/>
      <c r="XO26" s="22"/>
      <c r="XP26" s="22"/>
      <c r="XQ26" s="22"/>
      <c r="XR26" s="22"/>
      <c r="XS26" s="22"/>
      <c r="XT26" s="22"/>
      <c r="XU26" s="22"/>
      <c r="XV26" s="22"/>
      <c r="XW26" s="22"/>
      <c r="XX26" s="22"/>
      <c r="XY26" s="22"/>
      <c r="XZ26" s="22"/>
      <c r="YA26" s="22"/>
      <c r="YB26" s="22"/>
      <c r="YC26" s="22"/>
      <c r="YD26" s="22"/>
      <c r="YE26" s="22"/>
      <c r="YF26" s="22"/>
      <c r="YG26" s="22"/>
      <c r="YH26" s="22"/>
      <c r="YI26" s="22"/>
      <c r="YJ26" s="22"/>
      <c r="YK26" s="22"/>
      <c r="YL26" s="22"/>
      <c r="YM26" s="22"/>
      <c r="YN26" s="22"/>
      <c r="YO26" s="22"/>
      <c r="YP26" s="22"/>
      <c r="YQ26" s="22"/>
      <c r="YR26" s="22"/>
      <c r="YS26" s="22"/>
      <c r="YT26" s="22"/>
      <c r="YU26" s="22"/>
      <c r="YV26" s="22"/>
      <c r="YW26" s="22"/>
      <c r="YX26" s="22"/>
      <c r="YY26" s="22"/>
      <c r="YZ26" s="22"/>
      <c r="ZA26" s="22"/>
      <c r="ZB26" s="22"/>
      <c r="ZC26" s="22"/>
      <c r="ZD26" s="22"/>
      <c r="ZE26" s="22"/>
      <c r="ZF26" s="22"/>
      <c r="ZG26" s="22"/>
      <c r="ZH26" s="22"/>
      <c r="ZI26" s="22"/>
      <c r="ZJ26" s="22"/>
      <c r="ZK26" s="22"/>
      <c r="ZL26" s="22"/>
      <c r="ZM26" s="22"/>
      <c r="ZN26" s="22"/>
      <c r="ZO26" s="22"/>
      <c r="ZP26" s="22"/>
      <c r="ZQ26" s="22"/>
      <c r="ZR26" s="22"/>
      <c r="ZS26" s="22"/>
      <c r="ZT26" s="22"/>
      <c r="ZU26" s="22"/>
      <c r="ZV26" s="22"/>
      <c r="ZW26" s="22"/>
      <c r="ZX26" s="22"/>
      <c r="ZY26" s="22"/>
      <c r="ZZ26" s="22"/>
      <c r="AAA26" s="22"/>
      <c r="AAB26" s="22"/>
      <c r="AAC26" s="22"/>
      <c r="AAD26" s="22"/>
      <c r="AAE26" s="22"/>
      <c r="AAF26" s="22"/>
      <c r="AAG26" s="22"/>
      <c r="AAH26" s="22"/>
      <c r="AAI26" s="22"/>
      <c r="AAJ26" s="22"/>
      <c r="AAK26" s="22"/>
      <c r="AAL26" s="22"/>
      <c r="AAM26" s="22"/>
      <c r="AAN26" s="22"/>
      <c r="AAO26" s="22"/>
      <c r="AAP26" s="22"/>
      <c r="AAQ26" s="22"/>
      <c r="AAR26" s="22"/>
      <c r="AAS26" s="22"/>
      <c r="AAT26" s="22"/>
      <c r="AAU26" s="22"/>
      <c r="AAV26" s="22"/>
      <c r="AAW26" s="22"/>
      <c r="AAX26" s="22"/>
      <c r="AAY26" s="22"/>
      <c r="AAZ26" s="22"/>
      <c r="ABA26" s="22"/>
      <c r="ABB26" s="22"/>
      <c r="ABC26" s="22"/>
    </row>
    <row r="27" spans="1:731" ht="15" customHeight="1" x14ac:dyDescent="0.3">
      <c r="A27" s="422"/>
      <c r="B27" s="435"/>
      <c r="C27" s="296"/>
      <c r="D27" s="9" t="s">
        <v>13</v>
      </c>
      <c r="E27" s="10" t="s">
        <v>33</v>
      </c>
      <c r="F27" s="11">
        <f t="shared" ref="F27:G29" si="32">J27/$F$2</f>
        <v>283.99229793970056</v>
      </c>
      <c r="G27" s="16">
        <f t="shared" si="32"/>
        <v>390.27864442342434</v>
      </c>
      <c r="H27" s="52">
        <f t="shared" si="24"/>
        <v>-106.28634648372378</v>
      </c>
      <c r="I27" s="14">
        <f t="shared" si="1"/>
        <v>-0.27233451792051094</v>
      </c>
      <c r="J27" s="57">
        <f>'[86]Lubricant Cluster 1 Summary'!$H$6</f>
        <v>84780.56</v>
      </c>
      <c r="K27" s="58">
        <f>'[86]Lubricant Cluster 1 Summary'!$I$6</f>
        <v>116510.35</v>
      </c>
      <c r="L27" s="52">
        <f t="shared" si="25"/>
        <v>-31729.790000000008</v>
      </c>
      <c r="M27" s="14">
        <f t="shared" si="21"/>
        <v>-0.272334517920511</v>
      </c>
      <c r="N27" s="57">
        <f>'[86]Lubricant Cluster 1 Summary'!$L$6</f>
        <v>84780.56</v>
      </c>
      <c r="O27" s="58">
        <f>'[86]Lubricant Cluster 1 Summary'!$M$6</f>
        <v>116510.35</v>
      </c>
      <c r="P27" s="52">
        <f t="shared" si="26"/>
        <v>-31729.790000000008</v>
      </c>
      <c r="Q27" s="14">
        <f t="shared" si="2"/>
        <v>-0.272334517920511</v>
      </c>
      <c r="R27" s="57">
        <f>'[86]Lubricant Cluster 1 Summary'!$R$6</f>
        <v>492.01</v>
      </c>
      <c r="S27" s="58">
        <f>'[86]Lubricant Cluster 1 Summary'!$S$6</f>
        <v>287.37</v>
      </c>
      <c r="T27" s="52">
        <f t="shared" si="27"/>
        <v>204.64</v>
      </c>
      <c r="U27" s="14">
        <f t="shared" si="30"/>
        <v>0.71211330340675782</v>
      </c>
      <c r="V27" s="57">
        <f>'[86]Lubricant Cluster 1 Summary'!$V$6</f>
        <v>57612.259999999995</v>
      </c>
      <c r="W27" s="58">
        <f>'[86]Lubricant Cluster 1 Summary'!$W$6</f>
        <v>74185.320000000007</v>
      </c>
      <c r="X27" s="13">
        <f t="shared" si="28"/>
        <v>-16573.060000000012</v>
      </c>
      <c r="Y27" s="14">
        <f t="shared" si="4"/>
        <v>-0.22340080220722927</v>
      </c>
      <c r="Z27" s="57">
        <f>'[86]Lubricant Cluster 1 Summary'!$AD$6</f>
        <v>27660.310000000005</v>
      </c>
      <c r="AA27" s="58">
        <f>'[86]Lubricant Cluster 1 Summary'!$AE$6</f>
        <v>42612.4</v>
      </c>
      <c r="AB27" s="52">
        <f t="shared" si="29"/>
        <v>-14952.089999999997</v>
      </c>
      <c r="AC27" s="19">
        <f t="shared" si="5"/>
        <v>-0.35088589236935719</v>
      </c>
      <c r="AD27" s="131">
        <f>'[86]Lubricant Cluster 1 Summary'!$AJ$6</f>
        <v>13417.2</v>
      </c>
      <c r="AE27" s="132">
        <f>'[86]Lubricant Cluster 1 Summary'!$AK$6</f>
        <v>14423.04</v>
      </c>
      <c r="AF27" s="108">
        <f t="shared" si="6"/>
        <v>-1005.8400000000001</v>
      </c>
      <c r="AG27" s="113">
        <f t="shared" si="31"/>
        <v>-6.973841853035144E-2</v>
      </c>
      <c r="AH27" s="141">
        <f>0</f>
        <v>0</v>
      </c>
      <c r="AI27" s="128">
        <v>0</v>
      </c>
      <c r="AJ27" s="108">
        <f t="shared" si="8"/>
        <v>0</v>
      </c>
      <c r="AK27" s="19">
        <v>0</v>
      </c>
      <c r="AL27" s="142">
        <f>'[86]Lubricant Cluster 1 Summary'!$AR$6</f>
        <v>14243.110000000004</v>
      </c>
      <c r="AM27" s="133">
        <f>'[86]Lubricant Cluster 1 Summary'!$AS$6</f>
        <v>28189.360000000001</v>
      </c>
      <c r="AN27" s="13">
        <f t="shared" si="9"/>
        <v>-13946.249999999996</v>
      </c>
      <c r="AO27" s="244">
        <f t="shared" si="10"/>
        <v>-0.49473453813779372</v>
      </c>
      <c r="AP27" s="111" t="s">
        <v>142</v>
      </c>
      <c r="AQ27" s="59"/>
      <c r="AR27" s="1">
        <f t="shared" si="11"/>
        <v>0</v>
      </c>
      <c r="AS27" s="1">
        <f t="shared" si="12"/>
        <v>0</v>
      </c>
      <c r="AT27" s="1">
        <f t="shared" si="13"/>
        <v>0</v>
      </c>
      <c r="AU27" s="1">
        <f t="shared" si="14"/>
        <v>0</v>
      </c>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J27" s="22"/>
      <c r="JK27" s="22"/>
      <c r="JL27" s="22"/>
      <c r="JM27" s="22"/>
      <c r="JN27" s="22"/>
      <c r="JO27" s="22"/>
      <c r="JP27" s="22"/>
      <c r="JQ27" s="22"/>
      <c r="JR27" s="22"/>
      <c r="JS27" s="22"/>
      <c r="JT27" s="22"/>
      <c r="JU27" s="22"/>
      <c r="JV27" s="22"/>
      <c r="JW27" s="22"/>
      <c r="JX27" s="22"/>
      <c r="JY27" s="22"/>
      <c r="JZ27" s="22"/>
      <c r="KA27" s="22"/>
      <c r="KB27" s="22"/>
      <c r="KC27" s="22"/>
      <c r="KD27" s="22"/>
      <c r="KE27" s="22"/>
      <c r="KF27" s="22"/>
      <c r="KG27" s="22"/>
      <c r="KH27" s="22"/>
      <c r="KI27" s="22"/>
      <c r="KJ27" s="22"/>
      <c r="KK27" s="22"/>
      <c r="KL27" s="22"/>
      <c r="KM27" s="22"/>
      <c r="KN27" s="22"/>
      <c r="KO27" s="22"/>
      <c r="KP27" s="22"/>
      <c r="KQ27" s="22"/>
      <c r="KR27" s="22"/>
      <c r="KS27" s="22"/>
      <c r="KT27" s="22"/>
      <c r="KU27" s="22"/>
      <c r="KV27" s="22"/>
      <c r="KW27" s="22"/>
      <c r="KX27" s="22"/>
      <c r="KY27" s="22"/>
      <c r="KZ27" s="22"/>
      <c r="LA27" s="22"/>
      <c r="LB27" s="22"/>
      <c r="LC27" s="22"/>
      <c r="LD27" s="22"/>
      <c r="LE27" s="22"/>
      <c r="LF27" s="22"/>
      <c r="LG27" s="22"/>
      <c r="LH27" s="22"/>
      <c r="LI27" s="22"/>
      <c r="LJ27" s="22"/>
      <c r="LK27" s="22"/>
      <c r="LL27" s="22"/>
      <c r="LM27" s="22"/>
      <c r="LN27" s="22"/>
      <c r="LO27" s="22"/>
      <c r="LP27" s="22"/>
      <c r="LQ27" s="22"/>
      <c r="LR27" s="22"/>
      <c r="LS27" s="22"/>
      <c r="LT27" s="22"/>
      <c r="LU27" s="22"/>
      <c r="LV27" s="22"/>
      <c r="LW27" s="22"/>
      <c r="LX27" s="22"/>
      <c r="LY27" s="22"/>
      <c r="LZ27" s="22"/>
      <c r="MA27" s="22"/>
      <c r="MB27" s="22"/>
      <c r="MC27" s="22"/>
      <c r="MD27" s="22"/>
      <c r="ME27" s="22"/>
      <c r="MF27" s="22"/>
      <c r="MG27" s="22"/>
      <c r="MH27" s="22"/>
      <c r="MI27" s="22"/>
      <c r="MJ27" s="22"/>
      <c r="MK27" s="22"/>
      <c r="ML27" s="22"/>
      <c r="MM27" s="22"/>
      <c r="MN27" s="22"/>
      <c r="MO27" s="22"/>
      <c r="MP27" s="22"/>
      <c r="MQ27" s="22"/>
      <c r="MR27" s="22"/>
      <c r="MS27" s="22"/>
      <c r="MT27" s="22"/>
      <c r="MU27" s="22"/>
      <c r="MV27" s="22"/>
      <c r="MW27" s="22"/>
      <c r="MX27" s="22"/>
      <c r="MY27" s="22"/>
      <c r="MZ27" s="22"/>
      <c r="NA27" s="22"/>
      <c r="NB27" s="22"/>
      <c r="NC27" s="22"/>
      <c r="ND27" s="22"/>
      <c r="NE27" s="22"/>
      <c r="NF27" s="22"/>
      <c r="NG27" s="22"/>
      <c r="NH27" s="22"/>
      <c r="NI27" s="22"/>
      <c r="NJ27" s="22"/>
      <c r="NK27" s="22"/>
      <c r="NL27" s="22"/>
      <c r="NM27" s="22"/>
      <c r="NN27" s="22"/>
      <c r="NO27" s="22"/>
      <c r="NP27" s="22"/>
      <c r="NQ27" s="22"/>
      <c r="NR27" s="22"/>
      <c r="NS27" s="22"/>
      <c r="NT27" s="22"/>
      <c r="NU27" s="22"/>
      <c r="NV27" s="22"/>
      <c r="NW27" s="22"/>
      <c r="NX27" s="22"/>
      <c r="NY27" s="22"/>
      <c r="NZ27" s="22"/>
      <c r="OA27" s="22"/>
      <c r="OB27" s="22"/>
      <c r="OC27" s="22"/>
      <c r="OD27" s="22"/>
      <c r="OE27" s="22"/>
      <c r="OF27" s="22"/>
      <c r="OG27" s="22"/>
      <c r="OH27" s="22"/>
      <c r="OI27" s="22"/>
      <c r="OJ27" s="22"/>
      <c r="OK27" s="22"/>
      <c r="OL27" s="22"/>
      <c r="OM27" s="22"/>
      <c r="ON27" s="22"/>
      <c r="OO27" s="22"/>
      <c r="OP27" s="22"/>
      <c r="OQ27" s="22"/>
      <c r="OR27" s="22"/>
      <c r="OS27" s="22"/>
      <c r="OT27" s="22"/>
      <c r="OU27" s="22"/>
      <c r="OV27" s="22"/>
      <c r="OW27" s="22"/>
      <c r="OX27" s="22"/>
      <c r="OY27" s="22"/>
      <c r="OZ27" s="22"/>
      <c r="PA27" s="22"/>
      <c r="PB27" s="22"/>
      <c r="PC27" s="22"/>
      <c r="PD27" s="22"/>
      <c r="PE27" s="22"/>
      <c r="PF27" s="22"/>
      <c r="PG27" s="22"/>
      <c r="PH27" s="22"/>
      <c r="PI27" s="22"/>
      <c r="PJ27" s="22"/>
      <c r="PK27" s="22"/>
      <c r="PL27" s="22"/>
      <c r="PM27" s="22"/>
      <c r="PN27" s="22"/>
      <c r="PO27" s="22"/>
      <c r="PP27" s="22"/>
      <c r="PQ27" s="22"/>
      <c r="PR27" s="22"/>
      <c r="PS27" s="22"/>
      <c r="PT27" s="22"/>
      <c r="PU27" s="22"/>
      <c r="PV27" s="22"/>
      <c r="PW27" s="22"/>
      <c r="PX27" s="22"/>
      <c r="PY27" s="22"/>
      <c r="PZ27" s="22"/>
      <c r="QA27" s="22"/>
      <c r="QB27" s="22"/>
      <c r="QC27" s="22"/>
      <c r="QD27" s="22"/>
      <c r="QE27" s="22"/>
      <c r="QF27" s="22"/>
      <c r="QG27" s="22"/>
      <c r="QH27" s="22"/>
      <c r="QI27" s="22"/>
      <c r="QJ27" s="22"/>
      <c r="QK27" s="22"/>
      <c r="QL27" s="22"/>
      <c r="QM27" s="22"/>
      <c r="QN27" s="22"/>
      <c r="QO27" s="22"/>
      <c r="QP27" s="22"/>
      <c r="QQ27" s="22"/>
      <c r="QR27" s="22"/>
      <c r="QS27" s="22"/>
      <c r="QT27" s="22"/>
      <c r="QU27" s="22"/>
      <c r="QV27" s="22"/>
      <c r="QW27" s="22"/>
      <c r="QX27" s="22"/>
      <c r="QY27" s="22"/>
      <c r="QZ27" s="22"/>
      <c r="RA27" s="22"/>
      <c r="RB27" s="22"/>
      <c r="RC27" s="22"/>
      <c r="RD27" s="22"/>
      <c r="RE27" s="22"/>
      <c r="RF27" s="22"/>
      <c r="RG27" s="22"/>
      <c r="RH27" s="22"/>
      <c r="RI27" s="22"/>
      <c r="RJ27" s="22"/>
      <c r="RK27" s="22"/>
      <c r="RL27" s="22"/>
      <c r="RM27" s="22"/>
      <c r="RN27" s="22"/>
      <c r="RO27" s="22"/>
      <c r="RP27" s="22"/>
      <c r="RQ27" s="22"/>
      <c r="RR27" s="22"/>
      <c r="RS27" s="22"/>
      <c r="RT27" s="22"/>
      <c r="RU27" s="22"/>
      <c r="RV27" s="22"/>
      <c r="RW27" s="22"/>
      <c r="RX27" s="22"/>
      <c r="RY27" s="22"/>
      <c r="RZ27" s="22"/>
      <c r="SA27" s="22"/>
      <c r="SB27" s="22"/>
      <c r="SC27" s="22"/>
      <c r="SD27" s="22"/>
      <c r="SE27" s="22"/>
      <c r="SF27" s="22"/>
      <c r="SG27" s="22"/>
      <c r="SH27" s="22"/>
      <c r="SI27" s="22"/>
      <c r="SJ27" s="22"/>
      <c r="SK27" s="22"/>
      <c r="SL27" s="22"/>
      <c r="SM27" s="22"/>
      <c r="SN27" s="22"/>
      <c r="SO27" s="22"/>
      <c r="SP27" s="22"/>
      <c r="SQ27" s="22"/>
      <c r="SR27" s="22"/>
      <c r="SS27" s="22"/>
      <c r="ST27" s="22"/>
      <c r="SU27" s="22"/>
      <c r="SV27" s="22"/>
      <c r="SW27" s="22"/>
      <c r="SX27" s="22"/>
      <c r="SY27" s="22"/>
      <c r="SZ27" s="22"/>
      <c r="TA27" s="22"/>
      <c r="TB27" s="22"/>
      <c r="TC27" s="22"/>
      <c r="TD27" s="22"/>
      <c r="TE27" s="22"/>
      <c r="TF27" s="22"/>
      <c r="TG27" s="22"/>
      <c r="TH27" s="22"/>
      <c r="TI27" s="22"/>
      <c r="TJ27" s="22"/>
      <c r="TK27" s="22"/>
      <c r="TL27" s="22"/>
      <c r="TM27" s="22"/>
      <c r="TN27" s="22"/>
      <c r="TO27" s="22"/>
      <c r="TP27" s="22"/>
      <c r="TQ27" s="22"/>
      <c r="TR27" s="22"/>
      <c r="TS27" s="22"/>
      <c r="TT27" s="22"/>
      <c r="TU27" s="22"/>
      <c r="TV27" s="22"/>
      <c r="TW27" s="22"/>
      <c r="TX27" s="22"/>
      <c r="TY27" s="22"/>
      <c r="TZ27" s="22"/>
      <c r="UA27" s="22"/>
      <c r="UB27" s="22"/>
      <c r="UC27" s="22"/>
      <c r="UD27" s="22"/>
      <c r="UE27" s="22"/>
      <c r="UF27" s="22"/>
      <c r="UG27" s="22"/>
      <c r="UH27" s="22"/>
      <c r="UI27" s="22"/>
      <c r="UJ27" s="22"/>
      <c r="UK27" s="22"/>
      <c r="UL27" s="22"/>
      <c r="UM27" s="22"/>
      <c r="UN27" s="22"/>
      <c r="UO27" s="22"/>
      <c r="UP27" s="22"/>
      <c r="UQ27" s="22"/>
      <c r="UR27" s="22"/>
      <c r="US27" s="22"/>
      <c r="UT27" s="22"/>
      <c r="UU27" s="22"/>
      <c r="UV27" s="22"/>
      <c r="UW27" s="22"/>
      <c r="UX27" s="22"/>
      <c r="UY27" s="22"/>
      <c r="UZ27" s="22"/>
      <c r="VA27" s="22"/>
      <c r="VB27" s="22"/>
      <c r="VC27" s="22"/>
      <c r="VD27" s="22"/>
      <c r="VE27" s="22"/>
      <c r="VF27" s="22"/>
      <c r="VG27" s="22"/>
      <c r="VH27" s="22"/>
      <c r="VI27" s="22"/>
      <c r="VJ27" s="22"/>
      <c r="VK27" s="22"/>
      <c r="VL27" s="22"/>
      <c r="VM27" s="22"/>
      <c r="VN27" s="22"/>
      <c r="VO27" s="22"/>
      <c r="VP27" s="22"/>
      <c r="VQ27" s="22"/>
      <c r="VR27" s="22"/>
      <c r="VS27" s="22"/>
      <c r="VT27" s="22"/>
      <c r="VU27" s="22"/>
      <c r="VV27" s="22"/>
      <c r="VW27" s="22"/>
      <c r="VX27" s="22"/>
      <c r="VY27" s="22"/>
      <c r="VZ27" s="22"/>
      <c r="WA27" s="22"/>
      <c r="WB27" s="22"/>
      <c r="WC27" s="22"/>
      <c r="WD27" s="22"/>
      <c r="WE27" s="22"/>
      <c r="WF27" s="22"/>
      <c r="WG27" s="22"/>
      <c r="WH27" s="22"/>
      <c r="WI27" s="22"/>
      <c r="WJ27" s="22"/>
      <c r="WK27" s="22"/>
      <c r="WL27" s="22"/>
      <c r="WM27" s="22"/>
      <c r="WN27" s="22"/>
      <c r="WO27" s="22"/>
      <c r="WP27" s="22"/>
      <c r="WQ27" s="22"/>
      <c r="WR27" s="22"/>
      <c r="WS27" s="22"/>
      <c r="WT27" s="22"/>
      <c r="WU27" s="22"/>
      <c r="WV27" s="22"/>
      <c r="WW27" s="22"/>
      <c r="WX27" s="22"/>
      <c r="WY27" s="22"/>
      <c r="WZ27" s="22"/>
      <c r="XA27" s="22"/>
      <c r="XB27" s="22"/>
      <c r="XC27" s="22"/>
      <c r="XD27" s="22"/>
      <c r="XE27" s="22"/>
      <c r="XF27" s="22"/>
      <c r="XG27" s="22"/>
      <c r="XH27" s="22"/>
      <c r="XI27" s="22"/>
      <c r="XJ27" s="22"/>
      <c r="XK27" s="22"/>
      <c r="XL27" s="22"/>
      <c r="XM27" s="22"/>
      <c r="XN27" s="22"/>
      <c r="XO27" s="22"/>
      <c r="XP27" s="22"/>
      <c r="XQ27" s="22"/>
      <c r="XR27" s="22"/>
      <c r="XS27" s="22"/>
      <c r="XT27" s="22"/>
      <c r="XU27" s="22"/>
      <c r="XV27" s="22"/>
      <c r="XW27" s="22"/>
      <c r="XX27" s="22"/>
      <c r="XY27" s="22"/>
      <c r="XZ27" s="22"/>
      <c r="YA27" s="22"/>
      <c r="YB27" s="22"/>
      <c r="YC27" s="22"/>
      <c r="YD27" s="22"/>
      <c r="YE27" s="22"/>
      <c r="YF27" s="22"/>
      <c r="YG27" s="22"/>
      <c r="YH27" s="22"/>
      <c r="YI27" s="22"/>
      <c r="YJ27" s="22"/>
      <c r="YK27" s="22"/>
      <c r="YL27" s="22"/>
      <c r="YM27" s="22"/>
      <c r="YN27" s="22"/>
      <c r="YO27" s="22"/>
      <c r="YP27" s="22"/>
      <c r="YQ27" s="22"/>
      <c r="YR27" s="22"/>
      <c r="YS27" s="22"/>
      <c r="YT27" s="22"/>
      <c r="YU27" s="22"/>
      <c r="YV27" s="22"/>
      <c r="YW27" s="22"/>
      <c r="YX27" s="22"/>
      <c r="YY27" s="22"/>
      <c r="YZ27" s="22"/>
      <c r="ZA27" s="22"/>
      <c r="ZB27" s="22"/>
      <c r="ZC27" s="22"/>
      <c r="ZD27" s="22"/>
      <c r="ZE27" s="22"/>
      <c r="ZF27" s="22"/>
      <c r="ZG27" s="22"/>
      <c r="ZH27" s="22"/>
      <c r="ZI27" s="22"/>
      <c r="ZJ27" s="22"/>
      <c r="ZK27" s="22"/>
      <c r="ZL27" s="22"/>
      <c r="ZM27" s="22"/>
      <c r="ZN27" s="22"/>
      <c r="ZO27" s="22"/>
      <c r="ZP27" s="22"/>
      <c r="ZQ27" s="22"/>
      <c r="ZR27" s="22"/>
      <c r="ZS27" s="22"/>
      <c r="ZT27" s="22"/>
      <c r="ZU27" s="22"/>
      <c r="ZV27" s="22"/>
      <c r="ZW27" s="22"/>
      <c r="ZX27" s="22"/>
      <c r="ZY27" s="22"/>
      <c r="ZZ27" s="22"/>
      <c r="AAA27" s="22"/>
      <c r="AAB27" s="22"/>
      <c r="AAC27" s="22"/>
      <c r="AAD27" s="22"/>
      <c r="AAE27" s="22"/>
      <c r="AAF27" s="22"/>
      <c r="AAG27" s="22"/>
      <c r="AAH27" s="22"/>
      <c r="AAI27" s="22"/>
      <c r="AAJ27" s="22"/>
      <c r="AAK27" s="22"/>
      <c r="AAL27" s="22"/>
      <c r="AAM27" s="22"/>
      <c r="AAN27" s="22"/>
      <c r="AAO27" s="22"/>
      <c r="AAP27" s="22"/>
      <c r="AAQ27" s="22"/>
      <c r="AAR27" s="22"/>
      <c r="AAS27" s="22"/>
      <c r="AAT27" s="22"/>
      <c r="AAU27" s="22"/>
      <c r="AAV27" s="22"/>
      <c r="AAW27" s="22"/>
      <c r="AAX27" s="22"/>
      <c r="AAY27" s="22"/>
      <c r="AAZ27" s="22"/>
      <c r="ABA27" s="22"/>
      <c r="ABB27" s="22"/>
      <c r="ABC27" s="22"/>
    </row>
    <row r="28" spans="1:731" ht="15" customHeight="1" x14ac:dyDescent="0.3">
      <c r="A28" s="422"/>
      <c r="B28" s="435"/>
      <c r="C28" s="296"/>
      <c r="D28" s="9" t="s">
        <v>13</v>
      </c>
      <c r="E28" s="10" t="s">
        <v>34</v>
      </c>
      <c r="F28" s="11">
        <f t="shared" si="32"/>
        <v>187.20321690088042</v>
      </c>
      <c r="G28" s="16">
        <f t="shared" si="32"/>
        <v>226.70997601996183</v>
      </c>
      <c r="H28" s="52">
        <f t="shared" si="24"/>
        <v>-39.506759119081408</v>
      </c>
      <c r="I28" s="14">
        <f t="shared" si="1"/>
        <v>-0.17426122931442078</v>
      </c>
      <c r="J28" s="57">
        <f>'[86]Lubricant Cluster 1 Summary'!$H$7</f>
        <v>55886</v>
      </c>
      <c r="K28" s="58">
        <f>'[86]Lubricant Cluster 1 Summary'!$I$7</f>
        <v>67680</v>
      </c>
      <c r="L28" s="52">
        <f t="shared" ref="L28:L29" si="33">J28-K28</f>
        <v>-11794</v>
      </c>
      <c r="M28" s="14">
        <f t="shared" ref="M28:M29" si="34">IFERROR(IF(K28&lt;0,-(J28-K28)/K28,(J28-K28)/K28),"")</f>
        <v>-0.17426122931442081</v>
      </c>
      <c r="N28" s="57">
        <f>'[86]Lubricant Cluster 1 Summary'!$L$7</f>
        <v>55886</v>
      </c>
      <c r="O28" s="58">
        <f>'[86]Lubricant Cluster 1 Summary'!$M$7</f>
        <v>67680</v>
      </c>
      <c r="P28" s="52">
        <f t="shared" ref="P28:P29" si="35">N28-O28</f>
        <v>-11794</v>
      </c>
      <c r="Q28" s="14">
        <f t="shared" ref="Q28:Q29" si="36">IFERROR(IF(O28&lt;0,-(N28-O28)/O28,(N28-O28)/O28),"")</f>
        <v>-0.17426122931442081</v>
      </c>
      <c r="R28" s="57">
        <f>'[86]Lubricant Cluster 1 Summary'!$R$7</f>
        <v>312</v>
      </c>
      <c r="S28" s="58">
        <f>'[86]Lubricant Cluster 1 Summary'!$S$7</f>
        <v>338</v>
      </c>
      <c r="T28" s="52">
        <f t="shared" ref="T28:T29" si="37">R28-S28</f>
        <v>-26</v>
      </c>
      <c r="U28" s="14">
        <f t="shared" ref="U28:U29" si="38">IFERROR(IF(S28&lt;0,-(R28-S28)/S28,(R28-S28)/S28),"")</f>
        <v>-7.6923076923076927E-2</v>
      </c>
      <c r="V28" s="57">
        <f>'[86]Lubricant Cluster 1 Summary'!$V$7</f>
        <v>19677</v>
      </c>
      <c r="W28" s="58">
        <f>'[86]Lubricant Cluster 1 Summary'!$W$7</f>
        <v>24407</v>
      </c>
      <c r="X28" s="13">
        <f t="shared" ref="X28:X29" si="39">V28-W28</f>
        <v>-4730</v>
      </c>
      <c r="Y28" s="14">
        <f t="shared" ref="Y28:Y29" si="40">IFERROR(IF(W28&lt;0,-(V28-W28)/W28,(V28-W28)/W28),"")</f>
        <v>-0.19379686155611095</v>
      </c>
      <c r="Z28" s="57">
        <f>'[86]Lubricant Cluster 1 Summary'!$AD$7</f>
        <v>36521</v>
      </c>
      <c r="AA28" s="58">
        <f>'[86]Lubricant Cluster 1 Summary'!$AE$7</f>
        <v>43611</v>
      </c>
      <c r="AB28" s="52">
        <f t="shared" ref="AB28:AB29" si="41">Z28-AA28</f>
        <v>-7090</v>
      </c>
      <c r="AC28" s="19">
        <f t="shared" ref="AC28:AC29" si="42">IFERROR(IF(AA28&lt;0,-(Z28-AA28)/AA28,(Z28-AA28)/AA28),"")</f>
        <v>-0.16257366260805761</v>
      </c>
      <c r="AD28" s="131">
        <f>'[86]Lubricant Cluster 1 Summary'!$AJ$7</f>
        <v>4161</v>
      </c>
      <c r="AE28" s="132">
        <f>'[86]Lubricant Cluster 1 Summary'!$AK$7</f>
        <v>4096</v>
      </c>
      <c r="AF28" s="108">
        <f t="shared" ref="AF28:AF29" si="43">AD28-AE28</f>
        <v>65</v>
      </c>
      <c r="AG28" s="113">
        <f t="shared" ref="AG28:AG29" si="44">IFERROR(IF(AE28&lt;0,-(AD28-AE28)/AE28,(AD28-AE28)/AE28),"")</f>
        <v>1.5869140625E-2</v>
      </c>
      <c r="AH28" s="141">
        <f>0</f>
        <v>0</v>
      </c>
      <c r="AI28" s="128">
        <v>0</v>
      </c>
      <c r="AJ28" s="108">
        <f t="shared" ref="AJ28:AJ29" si="45">AH28-AI28</f>
        <v>0</v>
      </c>
      <c r="AK28" s="19">
        <v>0</v>
      </c>
      <c r="AL28" s="142">
        <f>'[86]Lubricant Cluster 1 Summary'!$AR$7</f>
        <v>32360</v>
      </c>
      <c r="AM28" s="133">
        <f>'[86]Lubricant Cluster 1 Summary'!$AS$7</f>
        <v>39515</v>
      </c>
      <c r="AN28" s="13">
        <f t="shared" ref="AN28:AN29" si="46">AL28-AM28</f>
        <v>-7155</v>
      </c>
      <c r="AO28" s="244">
        <f t="shared" ref="AO28:AO29" si="47">IFERROR(IF(AM28&lt;0,-(AL28-AM28)/AM28,(AL28-AM28)/AM28),"")</f>
        <v>-0.18107047956472225</v>
      </c>
      <c r="AP28" s="370" t="s">
        <v>143</v>
      </c>
      <c r="AQ28" s="22"/>
      <c r="AR28" s="1">
        <f t="shared" si="11"/>
        <v>0</v>
      </c>
      <c r="AS28" s="1">
        <f t="shared" si="12"/>
        <v>0</v>
      </c>
      <c r="AT28" s="1">
        <f t="shared" si="13"/>
        <v>0</v>
      </c>
      <c r="AU28" s="1">
        <f t="shared" si="14"/>
        <v>0</v>
      </c>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c r="IJ28" s="22"/>
      <c r="IK28" s="22"/>
      <c r="IL28" s="22"/>
      <c r="IM28" s="22"/>
      <c r="IN28" s="22"/>
      <c r="IO28" s="22"/>
      <c r="IP28" s="22"/>
      <c r="IQ28" s="22"/>
      <c r="IR28" s="22"/>
      <c r="IS28" s="22"/>
      <c r="IT28" s="22"/>
      <c r="IU28" s="22"/>
      <c r="IV28" s="22"/>
      <c r="IW28" s="22"/>
      <c r="IX28" s="22"/>
      <c r="IY28" s="22"/>
      <c r="IZ28" s="22"/>
      <c r="JA28" s="22"/>
      <c r="JB28" s="22"/>
      <c r="JC28" s="22"/>
      <c r="JD28" s="22"/>
      <c r="JE28" s="22"/>
      <c r="JJ28" s="22"/>
      <c r="JK28" s="22"/>
      <c r="JL28" s="22"/>
      <c r="JM28" s="22"/>
      <c r="JN28" s="22"/>
      <c r="JO28" s="22"/>
      <c r="JP28" s="22"/>
      <c r="JQ28" s="22"/>
      <c r="JR28" s="22"/>
      <c r="JS28" s="22"/>
      <c r="JT28" s="22"/>
      <c r="JU28" s="22"/>
      <c r="JV28" s="22"/>
      <c r="JW28" s="22"/>
      <c r="JX28" s="22"/>
      <c r="JY28" s="22"/>
      <c r="JZ28" s="22"/>
      <c r="KA28" s="22"/>
      <c r="KB28" s="22"/>
      <c r="KC28" s="22"/>
      <c r="KD28" s="22"/>
      <c r="KE28" s="22"/>
      <c r="KF28" s="22"/>
      <c r="KG28" s="22"/>
      <c r="KH28" s="22"/>
      <c r="KI28" s="22"/>
      <c r="KJ28" s="22"/>
      <c r="KK28" s="22"/>
      <c r="KL28" s="22"/>
      <c r="KM28" s="22"/>
      <c r="KN28" s="22"/>
      <c r="KO28" s="22"/>
      <c r="KP28" s="22"/>
      <c r="KQ28" s="22"/>
      <c r="KR28" s="22"/>
      <c r="KS28" s="22"/>
      <c r="KT28" s="22"/>
      <c r="KU28" s="22"/>
      <c r="KV28" s="22"/>
      <c r="KW28" s="22"/>
      <c r="KX28" s="22"/>
      <c r="KY28" s="22"/>
      <c r="KZ28" s="22"/>
      <c r="LA28" s="22"/>
      <c r="LB28" s="22"/>
      <c r="LC28" s="22"/>
      <c r="LD28" s="22"/>
      <c r="LE28" s="22"/>
      <c r="LF28" s="22"/>
      <c r="LG28" s="22"/>
      <c r="LH28" s="22"/>
      <c r="LI28" s="22"/>
      <c r="LJ28" s="22"/>
      <c r="LK28" s="22"/>
      <c r="LL28" s="22"/>
      <c r="LM28" s="22"/>
      <c r="LN28" s="22"/>
      <c r="LO28" s="22"/>
      <c r="LP28" s="22"/>
      <c r="LQ28" s="22"/>
      <c r="LR28" s="22"/>
      <c r="LS28" s="22"/>
      <c r="LT28" s="22"/>
      <c r="LU28" s="22"/>
      <c r="LV28" s="22"/>
      <c r="LW28" s="22"/>
      <c r="LX28" s="22"/>
      <c r="LY28" s="22"/>
      <c r="LZ28" s="22"/>
      <c r="MA28" s="22"/>
      <c r="MB28" s="22"/>
      <c r="MC28" s="22"/>
      <c r="MD28" s="22"/>
      <c r="ME28" s="22"/>
      <c r="MF28" s="22"/>
      <c r="MG28" s="22"/>
      <c r="MH28" s="22"/>
      <c r="MI28" s="22"/>
      <c r="MJ28" s="22"/>
      <c r="MK28" s="22"/>
      <c r="ML28" s="22"/>
      <c r="MM28" s="22"/>
      <c r="MN28" s="22"/>
      <c r="MO28" s="22"/>
      <c r="MP28" s="22"/>
      <c r="MQ28" s="22"/>
      <c r="MR28" s="22"/>
      <c r="MS28" s="22"/>
      <c r="MT28" s="22"/>
      <c r="MU28" s="22"/>
      <c r="MV28" s="22"/>
      <c r="MW28" s="22"/>
      <c r="MX28" s="22"/>
      <c r="MY28" s="22"/>
      <c r="MZ28" s="22"/>
      <c r="NA28" s="22"/>
      <c r="NB28" s="22"/>
      <c r="NC28" s="22"/>
      <c r="ND28" s="22"/>
      <c r="NE28" s="22"/>
      <c r="NF28" s="22"/>
      <c r="NG28" s="22"/>
      <c r="NH28" s="22"/>
      <c r="NI28" s="22"/>
      <c r="NJ28" s="22"/>
      <c r="NK28" s="22"/>
      <c r="NL28" s="22"/>
      <c r="NM28" s="22"/>
      <c r="NN28" s="22"/>
      <c r="NO28" s="22"/>
      <c r="NP28" s="22"/>
      <c r="NQ28" s="22"/>
      <c r="NR28" s="22"/>
      <c r="NS28" s="22"/>
      <c r="NT28" s="22"/>
      <c r="NU28" s="22"/>
      <c r="NV28" s="22"/>
      <c r="NW28" s="22"/>
      <c r="NX28" s="22"/>
      <c r="NY28" s="22"/>
      <c r="NZ28" s="22"/>
      <c r="OA28" s="22"/>
      <c r="OB28" s="22"/>
      <c r="OC28" s="22"/>
      <c r="OD28" s="22"/>
      <c r="OE28" s="22"/>
      <c r="OF28" s="22"/>
      <c r="OG28" s="22"/>
      <c r="OH28" s="22"/>
      <c r="OI28" s="22"/>
      <c r="OJ28" s="22"/>
      <c r="OK28" s="22"/>
      <c r="OL28" s="22"/>
      <c r="OM28" s="22"/>
      <c r="ON28" s="22"/>
      <c r="OO28" s="22"/>
      <c r="OP28" s="22"/>
      <c r="OQ28" s="22"/>
      <c r="OR28" s="22"/>
      <c r="OS28" s="22"/>
      <c r="OT28" s="22"/>
      <c r="OU28" s="22"/>
      <c r="OV28" s="22"/>
      <c r="OW28" s="22"/>
      <c r="OX28" s="22"/>
      <c r="OY28" s="22"/>
      <c r="OZ28" s="22"/>
      <c r="PA28" s="22"/>
      <c r="PB28" s="22"/>
      <c r="PC28" s="22"/>
      <c r="PD28" s="22"/>
      <c r="PE28" s="22"/>
      <c r="PF28" s="22"/>
      <c r="PG28" s="22"/>
      <c r="PH28" s="22"/>
      <c r="PI28" s="22"/>
      <c r="PJ28" s="22"/>
      <c r="PK28" s="22"/>
      <c r="PL28" s="22"/>
      <c r="PM28" s="22"/>
      <c r="PN28" s="22"/>
      <c r="PO28" s="22"/>
      <c r="PP28" s="22"/>
      <c r="PQ28" s="22"/>
      <c r="PR28" s="22"/>
      <c r="PS28" s="22"/>
      <c r="PT28" s="22"/>
      <c r="PU28" s="22"/>
      <c r="PV28" s="22"/>
      <c r="PW28" s="22"/>
      <c r="PX28" s="22"/>
      <c r="PY28" s="22"/>
      <c r="PZ28" s="22"/>
      <c r="QA28" s="22"/>
      <c r="QB28" s="22"/>
      <c r="QC28" s="22"/>
      <c r="QD28" s="22"/>
      <c r="QE28" s="22"/>
      <c r="QF28" s="22"/>
      <c r="QG28" s="22"/>
      <c r="QH28" s="22"/>
      <c r="QI28" s="22"/>
      <c r="QJ28" s="22"/>
      <c r="QK28" s="22"/>
      <c r="QL28" s="22"/>
      <c r="QM28" s="22"/>
      <c r="QN28" s="22"/>
      <c r="QO28" s="22"/>
      <c r="QP28" s="22"/>
      <c r="QQ28" s="22"/>
      <c r="QR28" s="22"/>
      <c r="QS28" s="22"/>
      <c r="QT28" s="22"/>
      <c r="QU28" s="22"/>
      <c r="QV28" s="22"/>
      <c r="QW28" s="22"/>
      <c r="QX28" s="22"/>
      <c r="QY28" s="22"/>
      <c r="QZ28" s="22"/>
      <c r="RA28" s="22"/>
      <c r="RB28" s="22"/>
      <c r="RC28" s="22"/>
      <c r="RD28" s="22"/>
      <c r="RE28" s="22"/>
      <c r="RF28" s="22"/>
      <c r="RG28" s="22"/>
      <c r="RH28" s="22"/>
      <c r="RI28" s="22"/>
      <c r="RJ28" s="22"/>
      <c r="RK28" s="22"/>
      <c r="RL28" s="22"/>
      <c r="RM28" s="22"/>
      <c r="RN28" s="22"/>
      <c r="RO28" s="22"/>
      <c r="RP28" s="22"/>
      <c r="RQ28" s="22"/>
      <c r="RR28" s="22"/>
      <c r="RS28" s="22"/>
      <c r="RT28" s="22"/>
      <c r="RU28" s="22"/>
      <c r="RV28" s="22"/>
      <c r="RW28" s="22"/>
      <c r="RX28" s="22"/>
      <c r="RY28" s="22"/>
      <c r="RZ28" s="22"/>
      <c r="SA28" s="22"/>
      <c r="SB28" s="22"/>
      <c r="SC28" s="22"/>
      <c r="SD28" s="22"/>
      <c r="SE28" s="22"/>
      <c r="SF28" s="22"/>
      <c r="SG28" s="22"/>
      <c r="SH28" s="22"/>
      <c r="SI28" s="22"/>
      <c r="SJ28" s="22"/>
      <c r="SK28" s="22"/>
      <c r="SL28" s="22"/>
      <c r="SM28" s="22"/>
      <c r="SN28" s="22"/>
      <c r="SO28" s="22"/>
      <c r="SP28" s="22"/>
      <c r="SQ28" s="22"/>
      <c r="SR28" s="22"/>
      <c r="SS28" s="22"/>
      <c r="ST28" s="22"/>
      <c r="SU28" s="22"/>
      <c r="SV28" s="22"/>
      <c r="SW28" s="22"/>
      <c r="SX28" s="22"/>
      <c r="SY28" s="22"/>
      <c r="SZ28" s="22"/>
      <c r="TA28" s="22"/>
      <c r="TB28" s="22"/>
      <c r="TC28" s="22"/>
      <c r="TD28" s="22"/>
      <c r="TE28" s="22"/>
      <c r="TF28" s="22"/>
      <c r="TG28" s="22"/>
      <c r="TH28" s="22"/>
      <c r="TI28" s="22"/>
      <c r="TJ28" s="22"/>
      <c r="TK28" s="22"/>
      <c r="TL28" s="22"/>
      <c r="TM28" s="22"/>
      <c r="TN28" s="22"/>
      <c r="TO28" s="22"/>
      <c r="TP28" s="22"/>
      <c r="TQ28" s="22"/>
      <c r="TR28" s="22"/>
      <c r="TS28" s="22"/>
      <c r="TT28" s="22"/>
      <c r="TU28" s="22"/>
      <c r="TV28" s="22"/>
      <c r="TW28" s="22"/>
      <c r="TX28" s="22"/>
      <c r="TY28" s="22"/>
      <c r="TZ28" s="22"/>
      <c r="UA28" s="22"/>
      <c r="UB28" s="22"/>
      <c r="UC28" s="22"/>
      <c r="UD28" s="22"/>
      <c r="UE28" s="22"/>
      <c r="UF28" s="22"/>
      <c r="UG28" s="22"/>
      <c r="UH28" s="22"/>
      <c r="UI28" s="22"/>
      <c r="UJ28" s="22"/>
      <c r="UK28" s="22"/>
      <c r="UL28" s="22"/>
      <c r="UM28" s="22"/>
      <c r="UN28" s="22"/>
      <c r="UO28" s="22"/>
      <c r="UP28" s="22"/>
      <c r="UQ28" s="22"/>
      <c r="UR28" s="22"/>
      <c r="US28" s="22"/>
      <c r="UT28" s="22"/>
      <c r="UU28" s="22"/>
      <c r="UV28" s="22"/>
      <c r="UW28" s="22"/>
      <c r="UX28" s="22"/>
      <c r="UY28" s="22"/>
      <c r="UZ28" s="22"/>
      <c r="VA28" s="22"/>
      <c r="VB28" s="22"/>
      <c r="VC28" s="22"/>
      <c r="VD28" s="22"/>
      <c r="VE28" s="22"/>
      <c r="VF28" s="22"/>
      <c r="VG28" s="22"/>
      <c r="VH28" s="22"/>
      <c r="VI28" s="22"/>
      <c r="VJ28" s="22"/>
      <c r="VK28" s="22"/>
      <c r="VL28" s="22"/>
      <c r="VM28" s="22"/>
      <c r="VN28" s="22"/>
      <c r="VO28" s="22"/>
      <c r="VP28" s="22"/>
      <c r="VQ28" s="22"/>
      <c r="VR28" s="22"/>
      <c r="VS28" s="22"/>
      <c r="VT28" s="22"/>
      <c r="VU28" s="22"/>
      <c r="VV28" s="22"/>
      <c r="VW28" s="22"/>
      <c r="VX28" s="22"/>
      <c r="VY28" s="22"/>
      <c r="VZ28" s="22"/>
      <c r="WA28" s="22"/>
      <c r="WB28" s="22"/>
      <c r="WC28" s="22"/>
      <c r="WD28" s="22"/>
      <c r="WE28" s="22"/>
      <c r="WF28" s="22"/>
      <c r="WG28" s="22"/>
      <c r="WH28" s="22"/>
      <c r="WI28" s="22"/>
      <c r="WJ28" s="22"/>
      <c r="WK28" s="22"/>
      <c r="WL28" s="22"/>
      <c r="WM28" s="22"/>
      <c r="WN28" s="22"/>
      <c r="WO28" s="22"/>
      <c r="WP28" s="22"/>
      <c r="WQ28" s="22"/>
      <c r="WR28" s="22"/>
      <c r="WS28" s="22"/>
      <c r="WT28" s="22"/>
      <c r="WU28" s="22"/>
      <c r="WV28" s="22"/>
      <c r="WW28" s="22"/>
      <c r="WX28" s="22"/>
      <c r="WY28" s="22"/>
      <c r="WZ28" s="22"/>
      <c r="XA28" s="22"/>
      <c r="XB28" s="22"/>
      <c r="XC28" s="22"/>
      <c r="XD28" s="22"/>
      <c r="XE28" s="22"/>
      <c r="XF28" s="22"/>
      <c r="XG28" s="22"/>
      <c r="XH28" s="22"/>
      <c r="XI28" s="22"/>
      <c r="XJ28" s="22"/>
      <c r="XK28" s="22"/>
      <c r="XL28" s="22"/>
      <c r="XM28" s="22"/>
      <c r="XN28" s="22"/>
      <c r="XO28" s="22"/>
      <c r="XP28" s="22"/>
      <c r="XQ28" s="22"/>
      <c r="XR28" s="22"/>
      <c r="XS28" s="22"/>
      <c r="XT28" s="22"/>
      <c r="XU28" s="22"/>
      <c r="XV28" s="22"/>
      <c r="XW28" s="22"/>
      <c r="XX28" s="22"/>
      <c r="XY28" s="22"/>
      <c r="XZ28" s="22"/>
      <c r="YA28" s="22"/>
      <c r="YB28" s="22"/>
      <c r="YC28" s="22"/>
      <c r="YD28" s="22"/>
      <c r="YE28" s="22"/>
      <c r="YF28" s="22"/>
      <c r="YG28" s="22"/>
      <c r="YH28" s="22"/>
      <c r="YI28" s="22"/>
      <c r="YJ28" s="22"/>
      <c r="YK28" s="22"/>
      <c r="YL28" s="22"/>
      <c r="YM28" s="22"/>
      <c r="YN28" s="22"/>
      <c r="YO28" s="22"/>
      <c r="YP28" s="22"/>
      <c r="YQ28" s="22"/>
      <c r="YR28" s="22"/>
      <c r="YS28" s="22"/>
      <c r="YT28" s="22"/>
      <c r="YU28" s="22"/>
      <c r="YV28" s="22"/>
      <c r="YW28" s="22"/>
      <c r="YX28" s="22"/>
      <c r="YY28" s="22"/>
      <c r="YZ28" s="22"/>
      <c r="ZA28" s="22"/>
      <c r="ZB28" s="22"/>
      <c r="ZC28" s="22"/>
      <c r="ZD28" s="22"/>
      <c r="ZE28" s="22"/>
      <c r="ZF28" s="22"/>
      <c r="ZG28" s="22"/>
      <c r="ZH28" s="22"/>
      <c r="ZI28" s="22"/>
      <c r="ZJ28" s="22"/>
      <c r="ZK28" s="22"/>
      <c r="ZL28" s="22"/>
      <c r="ZM28" s="22"/>
      <c r="ZN28" s="22"/>
      <c r="ZO28" s="22"/>
      <c r="ZP28" s="22"/>
      <c r="ZQ28" s="22"/>
      <c r="ZR28" s="22"/>
      <c r="ZS28" s="22"/>
      <c r="ZT28" s="22"/>
      <c r="ZU28" s="22"/>
      <c r="ZV28" s="22"/>
      <c r="ZW28" s="22"/>
      <c r="ZX28" s="22"/>
      <c r="ZY28" s="22"/>
      <c r="ZZ28" s="22"/>
      <c r="AAA28" s="22"/>
      <c r="AAB28" s="22"/>
      <c r="AAC28" s="22"/>
      <c r="AAD28" s="22"/>
      <c r="AAE28" s="22"/>
      <c r="AAF28" s="22"/>
      <c r="AAG28" s="22"/>
      <c r="AAH28" s="22"/>
      <c r="AAI28" s="22"/>
      <c r="AAJ28" s="22"/>
      <c r="AAK28" s="22"/>
      <c r="AAL28" s="22"/>
      <c r="AAM28" s="22"/>
      <c r="AAN28" s="22"/>
      <c r="AAO28" s="22"/>
      <c r="AAP28" s="22"/>
      <c r="AAQ28" s="22"/>
      <c r="AAR28" s="22"/>
      <c r="AAS28" s="22"/>
      <c r="AAT28" s="22"/>
      <c r="AAU28" s="22"/>
      <c r="AAV28" s="22"/>
      <c r="AAW28" s="22"/>
      <c r="AAX28" s="22"/>
      <c r="AAY28" s="22"/>
      <c r="AAZ28" s="22"/>
      <c r="ABA28" s="22"/>
      <c r="ABB28" s="22"/>
      <c r="ABC28" s="22"/>
    </row>
    <row r="29" spans="1:731" ht="15" customHeight="1" thickBot="1" x14ac:dyDescent="0.35">
      <c r="A29" s="408"/>
      <c r="B29" s="417" t="s">
        <v>35</v>
      </c>
      <c r="C29" s="305"/>
      <c r="D29" s="9" t="s">
        <v>13</v>
      </c>
      <c r="E29" s="30" t="s">
        <v>36</v>
      </c>
      <c r="F29" s="11">
        <f t="shared" si="32"/>
        <v>114.97895216698419</v>
      </c>
      <c r="G29" s="16">
        <f t="shared" si="32"/>
        <v>163.37869830653514</v>
      </c>
      <c r="H29" s="31">
        <f t="shared" si="24"/>
        <v>-48.399746139550956</v>
      </c>
      <c r="I29" s="14">
        <f t="shared" si="1"/>
        <v>-0.29624269651568746</v>
      </c>
      <c r="J29" s="33">
        <f>'[86]Lubricant Cluster 1 Summary'!$H$8</f>
        <v>34324.803959999997</v>
      </c>
      <c r="K29" s="34">
        <f>'[86]Lubricant Cluster 1 Summary'!$I$8</f>
        <v>48773.637999999999</v>
      </c>
      <c r="L29" s="31">
        <f t="shared" si="33"/>
        <v>-14448.834040000002</v>
      </c>
      <c r="M29" s="14">
        <f t="shared" si="34"/>
        <v>-0.29624269651568746</v>
      </c>
      <c r="N29" s="33">
        <f>'[86]Lubricant Cluster 1 Summary'!$L$8</f>
        <v>34324.803959999997</v>
      </c>
      <c r="O29" s="34">
        <f>'[86]Lubricant Cluster 1 Summary'!$M$8</f>
        <v>48773.637999999999</v>
      </c>
      <c r="P29" s="31">
        <f t="shared" si="35"/>
        <v>-14448.834040000002</v>
      </c>
      <c r="Q29" s="14">
        <f t="shared" si="36"/>
        <v>-0.29624269651568746</v>
      </c>
      <c r="R29" s="33">
        <f>'[86]Lubricant Cluster 1 Summary'!$R$8</f>
        <v>307.2133</v>
      </c>
      <c r="S29" s="34">
        <f>'[86]Lubricant Cluster 1 Summary'!$S$8</f>
        <v>228.86990999999998</v>
      </c>
      <c r="T29" s="31">
        <f t="shared" si="37"/>
        <v>78.343390000000028</v>
      </c>
      <c r="U29" s="14">
        <f t="shared" si="38"/>
        <v>0.34230532969580857</v>
      </c>
      <c r="V29" s="33">
        <f>'[86]Lubricant Cluster 1 Summary'!$V$8</f>
        <v>33201.589659999998</v>
      </c>
      <c r="W29" s="34">
        <f>'[86]Lubricant Cluster 1 Summary'!$W$8</f>
        <v>38250</v>
      </c>
      <c r="X29" s="13">
        <f t="shared" si="39"/>
        <v>-5048.4103400000022</v>
      </c>
      <c r="Y29" s="14">
        <f t="shared" si="40"/>
        <v>-0.13198458405228763</v>
      </c>
      <c r="Z29" s="33">
        <f>'[86]Lubricant Cluster 1 Summary'!$AD$8</f>
        <v>1430.4275999999995</v>
      </c>
      <c r="AA29" s="34">
        <f>'[86]Lubricant Cluster 1 Summary'!$AE$8</f>
        <v>10752.507909999998</v>
      </c>
      <c r="AB29" s="31">
        <f t="shared" si="41"/>
        <v>-9322.0803099999994</v>
      </c>
      <c r="AC29" s="19">
        <f t="shared" si="42"/>
        <v>-0.86696800300238053</v>
      </c>
      <c r="AD29" s="126">
        <f>'[86]Lubricant Cluster 1 Summary'!$AJ$8</f>
        <v>925.08763999999996</v>
      </c>
      <c r="AE29" s="132">
        <f>'[86]Lubricant Cluster 1 Summary'!$AK$8</f>
        <v>910.99683540863396</v>
      </c>
      <c r="AF29" s="108">
        <f t="shared" si="43"/>
        <v>14.090804591366009</v>
      </c>
      <c r="AG29" s="113">
        <f t="shared" si="44"/>
        <v>1.5467457233312431E-2</v>
      </c>
      <c r="AH29" s="141">
        <f>0</f>
        <v>0</v>
      </c>
      <c r="AI29" s="128">
        <v>0</v>
      </c>
      <c r="AJ29" s="108">
        <f t="shared" si="45"/>
        <v>0</v>
      </c>
      <c r="AK29" s="19">
        <v>0</v>
      </c>
      <c r="AL29" s="142">
        <f>'[86]Lubricant Cluster 1 Summary'!$AR$8</f>
        <v>505.33995999999956</v>
      </c>
      <c r="AM29" s="133">
        <f>'[86]Lubricant Cluster 1 Summary'!$AS$8</f>
        <v>9841.5110745913644</v>
      </c>
      <c r="AN29" s="13">
        <f t="shared" si="46"/>
        <v>-9336.171114591365</v>
      </c>
      <c r="AO29" s="244">
        <f t="shared" si="47"/>
        <v>-0.94865219820717606</v>
      </c>
      <c r="AP29" s="111" t="s">
        <v>144</v>
      </c>
      <c r="AQ29" s="22"/>
      <c r="AR29" s="1">
        <f t="shared" si="11"/>
        <v>3.1832314562052488E-12</v>
      </c>
      <c r="AS29" s="1">
        <f t="shared" si="12"/>
        <v>0</v>
      </c>
      <c r="AT29" s="1">
        <f t="shared" si="13"/>
        <v>0</v>
      </c>
      <c r="AU29" s="1">
        <f t="shared" si="14"/>
        <v>0</v>
      </c>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c r="HM29" s="22"/>
      <c r="HN29" s="22"/>
      <c r="HO29" s="22"/>
      <c r="HP29" s="22"/>
      <c r="HQ29" s="22"/>
      <c r="HR29" s="22"/>
      <c r="HS29" s="22"/>
      <c r="HT29" s="22"/>
      <c r="HU29" s="22"/>
      <c r="HV29" s="22"/>
      <c r="HW29" s="22"/>
      <c r="HX29" s="22"/>
      <c r="HY29" s="22"/>
      <c r="HZ29" s="22"/>
      <c r="IA29" s="22"/>
      <c r="IB29" s="22"/>
      <c r="IC29" s="22"/>
      <c r="ID29" s="22"/>
      <c r="IE29" s="22"/>
      <c r="IF29" s="22"/>
      <c r="IG29" s="22"/>
      <c r="IH29" s="22"/>
      <c r="II29" s="22"/>
      <c r="IJ29" s="22"/>
      <c r="IK29" s="22"/>
      <c r="IL29" s="22"/>
      <c r="IM29" s="22"/>
      <c r="IN29" s="22"/>
      <c r="IO29" s="22"/>
      <c r="IP29" s="22"/>
      <c r="IQ29" s="22"/>
      <c r="IR29" s="22"/>
      <c r="IS29" s="22"/>
      <c r="IT29" s="22"/>
      <c r="IU29" s="22"/>
      <c r="IV29" s="22"/>
      <c r="IW29" s="22"/>
      <c r="IX29" s="22"/>
      <c r="IY29" s="22"/>
      <c r="IZ29" s="22"/>
      <c r="JA29" s="22"/>
      <c r="JB29" s="22"/>
      <c r="JC29" s="22"/>
      <c r="JD29" s="22"/>
      <c r="JE29" s="22"/>
      <c r="JJ29" s="22"/>
      <c r="JK29" s="22"/>
      <c r="JL29" s="22"/>
      <c r="JM29" s="22"/>
      <c r="JN29" s="22"/>
      <c r="JO29" s="22"/>
      <c r="JP29" s="22"/>
      <c r="JQ29" s="22"/>
      <c r="JR29" s="22"/>
      <c r="JS29" s="22"/>
      <c r="JT29" s="22"/>
      <c r="JU29" s="22"/>
      <c r="JV29" s="22"/>
      <c r="JW29" s="22"/>
      <c r="JX29" s="22"/>
      <c r="JY29" s="22"/>
      <c r="JZ29" s="22"/>
      <c r="KA29" s="22"/>
      <c r="KB29" s="22"/>
      <c r="KC29" s="22"/>
      <c r="KD29" s="22"/>
      <c r="KE29" s="22"/>
      <c r="KF29" s="22"/>
      <c r="KG29" s="22"/>
      <c r="KH29" s="22"/>
      <c r="KI29" s="22"/>
      <c r="KJ29" s="22"/>
      <c r="KK29" s="22"/>
      <c r="KL29" s="22"/>
      <c r="KM29" s="22"/>
      <c r="KN29" s="22"/>
      <c r="KO29" s="22"/>
      <c r="KP29" s="22"/>
      <c r="KQ29" s="22"/>
      <c r="KR29" s="22"/>
      <c r="KS29" s="22"/>
      <c r="KT29" s="22"/>
      <c r="KU29" s="22"/>
      <c r="KV29" s="22"/>
      <c r="KW29" s="22"/>
      <c r="KX29" s="22"/>
      <c r="KY29" s="22"/>
      <c r="KZ29" s="22"/>
      <c r="LA29" s="22"/>
      <c r="LB29" s="22"/>
      <c r="LC29" s="22"/>
      <c r="LD29" s="22"/>
      <c r="LE29" s="22"/>
      <c r="LF29" s="22"/>
      <c r="LG29" s="22"/>
      <c r="LH29" s="22"/>
      <c r="LI29" s="22"/>
      <c r="LJ29" s="22"/>
      <c r="LK29" s="22"/>
      <c r="LL29" s="22"/>
      <c r="LM29" s="22"/>
      <c r="LN29" s="22"/>
      <c r="LO29" s="22"/>
      <c r="LP29" s="22"/>
      <c r="LQ29" s="22"/>
      <c r="LR29" s="22"/>
      <c r="LS29" s="22"/>
      <c r="LT29" s="22"/>
      <c r="LU29" s="22"/>
      <c r="LV29" s="22"/>
      <c r="LW29" s="22"/>
      <c r="LX29" s="22"/>
      <c r="LY29" s="22"/>
      <c r="LZ29" s="22"/>
      <c r="MA29" s="22"/>
      <c r="MB29" s="22"/>
      <c r="MC29" s="22"/>
      <c r="MD29" s="22"/>
      <c r="ME29" s="22"/>
      <c r="MF29" s="22"/>
      <c r="MG29" s="22"/>
      <c r="MH29" s="22"/>
      <c r="MI29" s="22"/>
      <c r="MJ29" s="22"/>
      <c r="MK29" s="22"/>
      <c r="ML29" s="22"/>
      <c r="MM29" s="22"/>
      <c r="MN29" s="22"/>
      <c r="MO29" s="22"/>
      <c r="MP29" s="22"/>
      <c r="MQ29" s="22"/>
      <c r="MR29" s="22"/>
      <c r="MS29" s="22"/>
      <c r="MT29" s="22"/>
      <c r="MU29" s="22"/>
      <c r="MV29" s="22"/>
      <c r="MW29" s="22"/>
      <c r="MX29" s="22"/>
      <c r="MY29" s="22"/>
      <c r="MZ29" s="22"/>
      <c r="NA29" s="22"/>
      <c r="NB29" s="22"/>
      <c r="NC29" s="22"/>
      <c r="ND29" s="22"/>
      <c r="NE29" s="22"/>
      <c r="NF29" s="22"/>
      <c r="NG29" s="22"/>
      <c r="NH29" s="22"/>
      <c r="NI29" s="22"/>
      <c r="NJ29" s="22"/>
      <c r="NK29" s="22"/>
      <c r="NL29" s="22"/>
      <c r="NM29" s="22"/>
      <c r="NN29" s="22"/>
      <c r="NO29" s="22"/>
      <c r="NP29" s="22"/>
      <c r="NQ29" s="22"/>
      <c r="NR29" s="22"/>
      <c r="NS29" s="22"/>
      <c r="NT29" s="22"/>
      <c r="NU29" s="22"/>
      <c r="NV29" s="22"/>
      <c r="NW29" s="22"/>
      <c r="NX29" s="22"/>
      <c r="NY29" s="22"/>
      <c r="NZ29" s="22"/>
      <c r="OA29" s="22"/>
      <c r="OB29" s="22"/>
      <c r="OC29" s="22"/>
      <c r="OD29" s="22"/>
      <c r="OE29" s="22"/>
      <c r="OF29" s="22"/>
      <c r="OG29" s="22"/>
      <c r="OH29" s="22"/>
      <c r="OI29" s="22"/>
      <c r="OJ29" s="22"/>
      <c r="OK29" s="22"/>
      <c r="OL29" s="22"/>
      <c r="OM29" s="22"/>
      <c r="ON29" s="22"/>
      <c r="OO29" s="22"/>
      <c r="OP29" s="22"/>
      <c r="OQ29" s="22"/>
      <c r="OR29" s="22"/>
      <c r="OS29" s="22"/>
      <c r="OT29" s="22"/>
      <c r="OU29" s="22"/>
      <c r="OV29" s="22"/>
      <c r="OW29" s="22"/>
      <c r="OX29" s="22"/>
      <c r="OY29" s="22"/>
      <c r="OZ29" s="22"/>
      <c r="PA29" s="22"/>
      <c r="PB29" s="22"/>
      <c r="PC29" s="22"/>
      <c r="PD29" s="22"/>
      <c r="PE29" s="22"/>
      <c r="PF29" s="22"/>
      <c r="PG29" s="22"/>
      <c r="PH29" s="22"/>
      <c r="PI29" s="22"/>
      <c r="PJ29" s="22"/>
      <c r="PK29" s="22"/>
      <c r="PL29" s="22"/>
      <c r="PM29" s="22"/>
      <c r="PN29" s="22"/>
      <c r="PO29" s="22"/>
      <c r="PP29" s="22"/>
      <c r="PQ29" s="22"/>
      <c r="PR29" s="22"/>
      <c r="PS29" s="22"/>
      <c r="PT29" s="22"/>
      <c r="PU29" s="22"/>
      <c r="PV29" s="22"/>
      <c r="PW29" s="22"/>
      <c r="PX29" s="22"/>
      <c r="PY29" s="22"/>
      <c r="PZ29" s="22"/>
      <c r="QA29" s="22"/>
      <c r="QB29" s="22"/>
      <c r="QC29" s="22"/>
      <c r="QD29" s="22"/>
      <c r="QE29" s="22"/>
      <c r="QF29" s="22"/>
      <c r="QG29" s="22"/>
      <c r="QH29" s="22"/>
      <c r="QI29" s="22"/>
      <c r="QJ29" s="22"/>
      <c r="QK29" s="22"/>
      <c r="QL29" s="22"/>
      <c r="QM29" s="22"/>
      <c r="QN29" s="22"/>
      <c r="QO29" s="22"/>
      <c r="QP29" s="22"/>
      <c r="QQ29" s="22"/>
      <c r="QR29" s="22"/>
      <c r="QS29" s="22"/>
      <c r="QT29" s="22"/>
      <c r="QU29" s="22"/>
      <c r="QV29" s="22"/>
      <c r="QW29" s="22"/>
      <c r="QX29" s="22"/>
      <c r="QY29" s="22"/>
      <c r="QZ29" s="22"/>
      <c r="RA29" s="22"/>
      <c r="RB29" s="22"/>
      <c r="RC29" s="22"/>
      <c r="RD29" s="22"/>
      <c r="RE29" s="22"/>
      <c r="RF29" s="22"/>
      <c r="RG29" s="22"/>
      <c r="RH29" s="22"/>
      <c r="RI29" s="22"/>
      <c r="RJ29" s="22"/>
      <c r="RK29" s="22"/>
      <c r="RL29" s="22"/>
      <c r="RM29" s="22"/>
      <c r="RN29" s="22"/>
      <c r="RO29" s="22"/>
      <c r="RP29" s="22"/>
      <c r="RQ29" s="22"/>
      <c r="RR29" s="22"/>
      <c r="RS29" s="22"/>
      <c r="RT29" s="22"/>
      <c r="RU29" s="22"/>
      <c r="RV29" s="22"/>
      <c r="RW29" s="22"/>
      <c r="RX29" s="22"/>
      <c r="RY29" s="22"/>
      <c r="RZ29" s="22"/>
      <c r="SA29" s="22"/>
      <c r="SB29" s="22"/>
      <c r="SC29" s="22"/>
      <c r="SD29" s="22"/>
      <c r="SE29" s="22"/>
      <c r="SF29" s="22"/>
      <c r="SG29" s="22"/>
      <c r="SH29" s="22"/>
      <c r="SI29" s="22"/>
      <c r="SJ29" s="22"/>
      <c r="SK29" s="22"/>
      <c r="SL29" s="22"/>
      <c r="SM29" s="22"/>
      <c r="SN29" s="22"/>
      <c r="SO29" s="22"/>
      <c r="SP29" s="22"/>
      <c r="SQ29" s="22"/>
      <c r="SR29" s="22"/>
      <c r="SS29" s="22"/>
      <c r="ST29" s="22"/>
      <c r="SU29" s="22"/>
      <c r="SV29" s="22"/>
      <c r="SW29" s="22"/>
      <c r="SX29" s="22"/>
      <c r="SY29" s="22"/>
      <c r="SZ29" s="22"/>
      <c r="TA29" s="22"/>
      <c r="TB29" s="22"/>
      <c r="TC29" s="22"/>
      <c r="TD29" s="22"/>
      <c r="TE29" s="22"/>
      <c r="TF29" s="22"/>
      <c r="TG29" s="22"/>
      <c r="TH29" s="22"/>
      <c r="TI29" s="22"/>
      <c r="TJ29" s="22"/>
      <c r="TK29" s="22"/>
      <c r="TL29" s="22"/>
      <c r="TM29" s="22"/>
      <c r="TN29" s="22"/>
      <c r="TO29" s="22"/>
      <c r="TP29" s="22"/>
      <c r="TQ29" s="22"/>
      <c r="TR29" s="22"/>
      <c r="TS29" s="22"/>
      <c r="TT29" s="22"/>
      <c r="TU29" s="22"/>
      <c r="TV29" s="22"/>
      <c r="TW29" s="22"/>
      <c r="TX29" s="22"/>
      <c r="TY29" s="22"/>
      <c r="TZ29" s="22"/>
      <c r="UA29" s="22"/>
      <c r="UB29" s="22"/>
      <c r="UC29" s="22"/>
      <c r="UD29" s="22"/>
      <c r="UE29" s="22"/>
      <c r="UF29" s="22"/>
      <c r="UG29" s="22"/>
      <c r="UH29" s="22"/>
      <c r="UI29" s="22"/>
      <c r="UJ29" s="22"/>
      <c r="UK29" s="22"/>
      <c r="UL29" s="22"/>
      <c r="UM29" s="22"/>
      <c r="UN29" s="22"/>
      <c r="UO29" s="22"/>
      <c r="UP29" s="22"/>
      <c r="UQ29" s="22"/>
      <c r="UR29" s="22"/>
      <c r="US29" s="22"/>
      <c r="UT29" s="22"/>
      <c r="UU29" s="22"/>
      <c r="UV29" s="22"/>
      <c r="UW29" s="22"/>
      <c r="UX29" s="22"/>
      <c r="UY29" s="22"/>
      <c r="UZ29" s="22"/>
      <c r="VA29" s="22"/>
      <c r="VB29" s="22"/>
      <c r="VC29" s="22"/>
      <c r="VD29" s="22"/>
      <c r="VE29" s="22"/>
      <c r="VF29" s="22"/>
      <c r="VG29" s="22"/>
      <c r="VH29" s="22"/>
      <c r="VI29" s="22"/>
      <c r="VJ29" s="22"/>
      <c r="VK29" s="22"/>
      <c r="VL29" s="22"/>
      <c r="VM29" s="22"/>
      <c r="VN29" s="22"/>
      <c r="VO29" s="22"/>
      <c r="VP29" s="22"/>
      <c r="VQ29" s="22"/>
      <c r="VR29" s="22"/>
      <c r="VS29" s="22"/>
      <c r="VT29" s="22"/>
      <c r="VU29" s="22"/>
      <c r="VV29" s="22"/>
      <c r="VW29" s="22"/>
      <c r="VX29" s="22"/>
      <c r="VY29" s="22"/>
      <c r="VZ29" s="22"/>
      <c r="WA29" s="22"/>
      <c r="WB29" s="22"/>
      <c r="WC29" s="22"/>
      <c r="WD29" s="22"/>
      <c r="WE29" s="22"/>
      <c r="WF29" s="22"/>
      <c r="WG29" s="22"/>
      <c r="WH29" s="22"/>
      <c r="WI29" s="22"/>
      <c r="WJ29" s="22"/>
      <c r="WK29" s="22"/>
      <c r="WL29" s="22"/>
      <c r="WM29" s="22"/>
      <c r="WN29" s="22"/>
      <c r="WO29" s="22"/>
      <c r="WP29" s="22"/>
      <c r="WQ29" s="22"/>
      <c r="WR29" s="22"/>
      <c r="WS29" s="22"/>
      <c r="WT29" s="22"/>
      <c r="WU29" s="22"/>
      <c r="WV29" s="22"/>
      <c r="WW29" s="22"/>
      <c r="WX29" s="22"/>
      <c r="WY29" s="22"/>
      <c r="WZ29" s="22"/>
      <c r="XA29" s="22"/>
      <c r="XB29" s="22"/>
      <c r="XC29" s="22"/>
      <c r="XD29" s="22"/>
      <c r="XE29" s="22"/>
      <c r="XF29" s="22"/>
      <c r="XG29" s="22"/>
      <c r="XH29" s="22"/>
      <c r="XI29" s="22"/>
      <c r="XJ29" s="22"/>
      <c r="XK29" s="22"/>
      <c r="XL29" s="22"/>
      <c r="XM29" s="22"/>
      <c r="XN29" s="22"/>
      <c r="XO29" s="22"/>
      <c r="XP29" s="22"/>
      <c r="XQ29" s="22"/>
      <c r="XR29" s="22"/>
      <c r="XS29" s="22"/>
      <c r="XT29" s="22"/>
      <c r="XU29" s="22"/>
      <c r="XV29" s="22"/>
      <c r="XW29" s="22"/>
      <c r="XX29" s="22"/>
      <c r="XY29" s="22"/>
      <c r="XZ29" s="22"/>
      <c r="YA29" s="22"/>
      <c r="YB29" s="22"/>
      <c r="YC29" s="22"/>
      <c r="YD29" s="22"/>
      <c r="YE29" s="22"/>
      <c r="YF29" s="22"/>
      <c r="YG29" s="22"/>
      <c r="YH29" s="22"/>
      <c r="YI29" s="22"/>
      <c r="YJ29" s="22"/>
      <c r="YK29" s="22"/>
      <c r="YL29" s="22"/>
      <c r="YM29" s="22"/>
      <c r="YN29" s="22"/>
      <c r="YO29" s="22"/>
      <c r="YP29" s="22"/>
      <c r="YQ29" s="22"/>
      <c r="YR29" s="22"/>
      <c r="YS29" s="22"/>
      <c r="YT29" s="22"/>
      <c r="YU29" s="22"/>
      <c r="YV29" s="22"/>
      <c r="YW29" s="22"/>
      <c r="YX29" s="22"/>
      <c r="YY29" s="22"/>
      <c r="YZ29" s="22"/>
      <c r="ZA29" s="22"/>
      <c r="ZB29" s="22"/>
      <c r="ZC29" s="22"/>
      <c r="ZD29" s="22"/>
      <c r="ZE29" s="22"/>
      <c r="ZF29" s="22"/>
      <c r="ZG29" s="22"/>
      <c r="ZH29" s="22"/>
      <c r="ZI29" s="22"/>
      <c r="ZJ29" s="22"/>
      <c r="ZK29" s="22"/>
      <c r="ZL29" s="22"/>
      <c r="ZM29" s="22"/>
      <c r="ZN29" s="22"/>
      <c r="ZO29" s="22"/>
      <c r="ZP29" s="22"/>
      <c r="ZQ29" s="22"/>
      <c r="ZR29" s="22"/>
      <c r="ZS29" s="22"/>
      <c r="ZT29" s="22"/>
      <c r="ZU29" s="22"/>
      <c r="ZV29" s="22"/>
      <c r="ZW29" s="22"/>
      <c r="ZX29" s="22"/>
      <c r="ZY29" s="22"/>
      <c r="ZZ29" s="22"/>
      <c r="AAA29" s="22"/>
      <c r="AAB29" s="22"/>
      <c r="AAC29" s="22"/>
      <c r="AAD29" s="22"/>
      <c r="AAE29" s="22"/>
      <c r="AAF29" s="22"/>
      <c r="AAG29" s="22"/>
      <c r="AAH29" s="22"/>
      <c r="AAI29" s="22"/>
      <c r="AAJ29" s="22"/>
      <c r="AAK29" s="22"/>
      <c r="AAL29" s="22"/>
      <c r="AAM29" s="22"/>
      <c r="AAN29" s="22"/>
      <c r="AAO29" s="22"/>
      <c r="AAP29" s="22"/>
      <c r="AAQ29" s="22"/>
      <c r="AAR29" s="22"/>
      <c r="AAS29" s="22"/>
      <c r="AAT29" s="22"/>
      <c r="AAU29" s="22"/>
      <c r="AAV29" s="22"/>
      <c r="AAW29" s="22"/>
      <c r="AAX29" s="22"/>
      <c r="AAY29" s="22"/>
      <c r="AAZ29" s="22"/>
      <c r="ABA29" s="22"/>
      <c r="ABB29" s="22"/>
      <c r="ABC29" s="22"/>
    </row>
    <row r="30" spans="1:731" s="56" customFormat="1" ht="15" customHeight="1" thickBot="1" x14ac:dyDescent="0.35">
      <c r="A30" s="53"/>
      <c r="B30" s="418"/>
      <c r="C30" s="332"/>
      <c r="D30" s="60"/>
      <c r="E30" s="369" t="s">
        <v>37</v>
      </c>
      <c r="F30" s="38">
        <f>SUM(F26:F29)</f>
        <v>916.55831418622654</v>
      </c>
      <c r="G30" s="54">
        <f>SUM(G26:G29)</f>
        <v>1134.5544315345908</v>
      </c>
      <c r="H30" s="40">
        <f t="shared" si="24"/>
        <v>-217.99611734836424</v>
      </c>
      <c r="I30" s="41">
        <f t="shared" si="1"/>
        <v>-0.19214249337821909</v>
      </c>
      <c r="J30" s="54">
        <f>SUM(J26:J29)</f>
        <v>273621.24858000001</v>
      </c>
      <c r="K30" s="54">
        <f>SUM(K26:K29)</f>
        <v>338699.88993999996</v>
      </c>
      <c r="L30" s="40">
        <f t="shared" si="25"/>
        <v>-65078.641359999951</v>
      </c>
      <c r="M30" s="41">
        <f t="shared" si="21"/>
        <v>-0.19214249337821901</v>
      </c>
      <c r="N30" s="54">
        <f>SUM(N26:N29)</f>
        <v>273621.24858000001</v>
      </c>
      <c r="O30" s="54">
        <f>SUM(O26:O29)</f>
        <v>338699.88993999996</v>
      </c>
      <c r="P30" s="40">
        <f t="shared" si="26"/>
        <v>-65078.641359999951</v>
      </c>
      <c r="Q30" s="41">
        <f t="shared" si="2"/>
        <v>-0.19214249337821901</v>
      </c>
      <c r="R30" s="54">
        <f>SUM(R26:R29)</f>
        <v>1565.15533</v>
      </c>
      <c r="S30" s="54">
        <f>SUM(S26:S29)</f>
        <v>974.23991000000001</v>
      </c>
      <c r="T30" s="40">
        <f t="shared" si="27"/>
        <v>590.91542000000004</v>
      </c>
      <c r="U30" s="41">
        <f t="shared" si="30"/>
        <v>0.60653994353403162</v>
      </c>
      <c r="V30" s="54">
        <f>SUM(V26:V29)</f>
        <v>195222.55162999997</v>
      </c>
      <c r="W30" s="54">
        <f>SUM(W26:W29)</f>
        <v>237820.30592000001</v>
      </c>
      <c r="X30" s="40">
        <f t="shared" si="28"/>
        <v>-42597.754290000041</v>
      </c>
      <c r="Y30" s="41">
        <f t="shared" si="4"/>
        <v>-0.1791173975881161</v>
      </c>
      <c r="Z30" s="54">
        <f>SUM(Z26:Z29)</f>
        <v>79963.852280000006</v>
      </c>
      <c r="AA30" s="54">
        <f>SUM(AA26:AA29)</f>
        <v>101853.82393</v>
      </c>
      <c r="AB30" s="40">
        <f t="shared" si="29"/>
        <v>-21889.971649999992</v>
      </c>
      <c r="AC30" s="42">
        <f t="shared" si="5"/>
        <v>-0.21491556041179252</v>
      </c>
      <c r="AD30" s="149">
        <f>SUM(AD26:AD29)</f>
        <v>24802.474100000003</v>
      </c>
      <c r="AE30" s="149">
        <f>SUM(AE26:AE29)</f>
        <v>25641.886775408635</v>
      </c>
      <c r="AF30" s="117">
        <f t="shared" si="6"/>
        <v>-839.41267540863191</v>
      </c>
      <c r="AG30" s="118">
        <f t="shared" si="7"/>
        <v>-3.2735994927395699E-2</v>
      </c>
      <c r="AH30" s="118">
        <f>SUM(AH26:AH29)</f>
        <v>0</v>
      </c>
      <c r="AI30" s="118">
        <f>SUM(AI26:AI29)</f>
        <v>0</v>
      </c>
      <c r="AJ30" s="117">
        <f t="shared" si="8"/>
        <v>0</v>
      </c>
      <c r="AK30" s="145" t="str">
        <f>IFERROR(IF(AI30&lt;0,-(AH30-AI30)/AI30,(AH30-AI30)/AI30),"")</f>
        <v/>
      </c>
      <c r="AL30" s="118">
        <f>SUM(AL26:AL29)</f>
        <v>55161.378180000007</v>
      </c>
      <c r="AM30" s="118">
        <f>SUM(AM26:AM29)</f>
        <v>76211.937154591375</v>
      </c>
      <c r="AN30" s="117">
        <f t="shared" si="9"/>
        <v>-21050.558974591368</v>
      </c>
      <c r="AO30" s="304">
        <f t="shared" si="10"/>
        <v>-0.27621078482615607</v>
      </c>
      <c r="AP30" s="317"/>
      <c r="AQ30" s="55"/>
      <c r="AR30" s="289">
        <f t="shared" si="11"/>
        <v>0</v>
      </c>
      <c r="AS30" s="289">
        <f t="shared" si="12"/>
        <v>0</v>
      </c>
      <c r="AT30" s="289">
        <f t="shared" si="13"/>
        <v>0</v>
      </c>
      <c r="AU30" s="333">
        <f t="shared" si="14"/>
        <v>0</v>
      </c>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c r="HT30" s="55"/>
      <c r="HU30" s="55"/>
      <c r="HV30" s="55"/>
      <c r="HW30" s="55"/>
      <c r="HX30" s="55"/>
      <c r="HY30" s="55"/>
      <c r="HZ30" s="55"/>
      <c r="IA30" s="55"/>
      <c r="IB30" s="55"/>
      <c r="IC30" s="55"/>
      <c r="ID30" s="55"/>
      <c r="IE30" s="55"/>
      <c r="IF30" s="55"/>
      <c r="IG30" s="55"/>
      <c r="IH30" s="55"/>
      <c r="II30" s="55"/>
      <c r="IJ30" s="55"/>
      <c r="IK30" s="55"/>
      <c r="IL30" s="55"/>
      <c r="IM30" s="55"/>
      <c r="IN30" s="55"/>
      <c r="IO30" s="55"/>
      <c r="IP30" s="55"/>
      <c r="IQ30" s="55"/>
      <c r="IR30" s="55"/>
      <c r="IS30" s="55"/>
      <c r="IT30" s="55"/>
      <c r="IU30" s="55"/>
      <c r="IV30" s="55"/>
      <c r="IW30" s="55"/>
      <c r="IX30" s="55"/>
      <c r="IY30" s="55"/>
      <c r="IZ30" s="55"/>
      <c r="JA30" s="55"/>
      <c r="JB30" s="55"/>
      <c r="JC30" s="55"/>
      <c r="JD30" s="55"/>
      <c r="JE30" s="55"/>
      <c r="JF30" s="61"/>
      <c r="JG30" s="61"/>
      <c r="JH30" s="61"/>
      <c r="JI30" s="61"/>
      <c r="JJ30" s="55"/>
      <c r="JK30" s="55"/>
      <c r="JL30" s="55"/>
      <c r="JM30" s="55"/>
      <c r="JN30" s="55"/>
      <c r="JO30" s="55"/>
      <c r="JP30" s="55"/>
      <c r="JQ30" s="55"/>
      <c r="JR30" s="55"/>
      <c r="JS30" s="55"/>
      <c r="JT30" s="55"/>
      <c r="JU30" s="55"/>
      <c r="JV30" s="55"/>
      <c r="JW30" s="55"/>
      <c r="JX30" s="55"/>
      <c r="JY30" s="55"/>
      <c r="JZ30" s="55"/>
      <c r="KA30" s="55"/>
      <c r="KB30" s="55"/>
      <c r="KC30" s="55"/>
      <c r="KD30" s="55"/>
      <c r="KE30" s="55"/>
      <c r="KF30" s="55"/>
      <c r="KG30" s="55"/>
      <c r="KH30" s="55"/>
      <c r="KI30" s="55"/>
      <c r="KJ30" s="55"/>
      <c r="KK30" s="55"/>
      <c r="KL30" s="55"/>
      <c r="KM30" s="55"/>
      <c r="KN30" s="55"/>
      <c r="KO30" s="55"/>
      <c r="KP30" s="55"/>
      <c r="KQ30" s="55"/>
      <c r="KR30" s="55"/>
      <c r="KS30" s="55"/>
      <c r="KT30" s="55"/>
      <c r="KU30" s="55"/>
      <c r="KV30" s="55"/>
      <c r="KW30" s="55"/>
      <c r="KX30" s="55"/>
      <c r="KY30" s="55"/>
      <c r="KZ30" s="55"/>
      <c r="LA30" s="55"/>
      <c r="LB30" s="55"/>
      <c r="LC30" s="55"/>
      <c r="LD30" s="55"/>
      <c r="LE30" s="55"/>
      <c r="LF30" s="55"/>
      <c r="LG30" s="55"/>
      <c r="LH30" s="55"/>
      <c r="LI30" s="55"/>
      <c r="LJ30" s="55"/>
      <c r="LK30" s="55"/>
      <c r="LL30" s="55"/>
      <c r="LM30" s="55"/>
      <c r="LN30" s="55"/>
      <c r="LO30" s="55"/>
      <c r="LP30" s="55"/>
      <c r="LQ30" s="55"/>
      <c r="LR30" s="55"/>
      <c r="LS30" s="55"/>
      <c r="LT30" s="55"/>
      <c r="LU30" s="55"/>
      <c r="LV30" s="55"/>
      <c r="LW30" s="55"/>
      <c r="LX30" s="55"/>
      <c r="LY30" s="55"/>
      <c r="LZ30" s="55"/>
      <c r="MA30" s="55"/>
      <c r="MB30" s="55"/>
      <c r="MC30" s="55"/>
      <c r="MD30" s="55"/>
      <c r="ME30" s="55"/>
      <c r="MF30" s="55"/>
      <c r="MG30" s="55"/>
      <c r="MH30" s="55"/>
      <c r="MI30" s="55"/>
      <c r="MJ30" s="55"/>
      <c r="MK30" s="55"/>
      <c r="ML30" s="55"/>
      <c r="MM30" s="55"/>
      <c r="MN30" s="55"/>
      <c r="MO30" s="55"/>
      <c r="MP30" s="55"/>
      <c r="MQ30" s="55"/>
      <c r="MR30" s="55"/>
      <c r="MS30" s="55"/>
      <c r="MT30" s="55"/>
      <c r="MU30" s="55"/>
      <c r="MV30" s="55"/>
      <c r="MW30" s="55"/>
      <c r="MX30" s="55"/>
      <c r="MY30" s="55"/>
      <c r="MZ30" s="55"/>
      <c r="NA30" s="55"/>
      <c r="NB30" s="55"/>
      <c r="NC30" s="55"/>
      <c r="ND30" s="55"/>
      <c r="NE30" s="55"/>
      <c r="NF30" s="55"/>
      <c r="NG30" s="55"/>
      <c r="NH30" s="55"/>
      <c r="NI30" s="55"/>
      <c r="NJ30" s="55"/>
      <c r="NK30" s="55"/>
      <c r="NL30" s="55"/>
      <c r="NM30" s="55"/>
      <c r="NN30" s="55"/>
      <c r="NO30" s="55"/>
      <c r="NP30" s="55"/>
      <c r="NQ30" s="55"/>
      <c r="NR30" s="55"/>
      <c r="NS30" s="55"/>
      <c r="NT30" s="55"/>
      <c r="NU30" s="55"/>
      <c r="NV30" s="55"/>
      <c r="NW30" s="55"/>
      <c r="NX30" s="55"/>
      <c r="NY30" s="55"/>
      <c r="NZ30" s="55"/>
      <c r="OA30" s="55"/>
      <c r="OB30" s="55"/>
      <c r="OC30" s="55"/>
      <c r="OD30" s="55"/>
      <c r="OE30" s="55"/>
      <c r="OF30" s="55"/>
      <c r="OG30" s="55"/>
      <c r="OH30" s="55"/>
      <c r="OI30" s="55"/>
      <c r="OJ30" s="55"/>
      <c r="OK30" s="55"/>
      <c r="OL30" s="55"/>
      <c r="OM30" s="55"/>
      <c r="ON30" s="55"/>
      <c r="OO30" s="55"/>
      <c r="OP30" s="55"/>
      <c r="OQ30" s="55"/>
      <c r="OR30" s="55"/>
      <c r="OS30" s="55"/>
      <c r="OT30" s="55"/>
      <c r="OU30" s="55"/>
      <c r="OV30" s="55"/>
      <c r="OW30" s="55"/>
      <c r="OX30" s="55"/>
      <c r="OY30" s="55"/>
      <c r="OZ30" s="55"/>
      <c r="PA30" s="55"/>
      <c r="PB30" s="55"/>
      <c r="PC30" s="55"/>
      <c r="PD30" s="55"/>
      <c r="PE30" s="55"/>
      <c r="PF30" s="55"/>
      <c r="PG30" s="55"/>
      <c r="PH30" s="55"/>
      <c r="PI30" s="55"/>
      <c r="PJ30" s="55"/>
      <c r="PK30" s="55"/>
      <c r="PL30" s="55"/>
      <c r="PM30" s="55"/>
      <c r="PN30" s="55"/>
      <c r="PO30" s="55"/>
      <c r="PP30" s="55"/>
      <c r="PQ30" s="55"/>
      <c r="PR30" s="55"/>
      <c r="PS30" s="55"/>
      <c r="PT30" s="55"/>
      <c r="PU30" s="55"/>
      <c r="PV30" s="55"/>
      <c r="PW30" s="55"/>
      <c r="PX30" s="55"/>
      <c r="PY30" s="55"/>
      <c r="PZ30" s="55"/>
      <c r="QA30" s="55"/>
      <c r="QB30" s="55"/>
      <c r="QC30" s="55"/>
      <c r="QD30" s="55"/>
      <c r="QE30" s="55"/>
      <c r="QF30" s="55"/>
      <c r="QG30" s="55"/>
      <c r="QH30" s="55"/>
      <c r="QI30" s="55"/>
      <c r="QJ30" s="55"/>
      <c r="QK30" s="55"/>
      <c r="QL30" s="55"/>
      <c r="QM30" s="55"/>
      <c r="QN30" s="55"/>
      <c r="QO30" s="55"/>
      <c r="QP30" s="55"/>
      <c r="QQ30" s="55"/>
      <c r="QR30" s="55"/>
      <c r="QS30" s="55"/>
      <c r="QT30" s="55"/>
      <c r="QU30" s="55"/>
      <c r="QV30" s="55"/>
      <c r="QW30" s="55"/>
      <c r="QX30" s="55"/>
      <c r="QY30" s="55"/>
      <c r="QZ30" s="55"/>
      <c r="RA30" s="55"/>
      <c r="RB30" s="55"/>
      <c r="RC30" s="55"/>
      <c r="RD30" s="55"/>
      <c r="RE30" s="55"/>
      <c r="RF30" s="55"/>
      <c r="RG30" s="55"/>
      <c r="RH30" s="55"/>
      <c r="RI30" s="55"/>
      <c r="RJ30" s="55"/>
      <c r="RK30" s="55"/>
      <c r="RL30" s="55"/>
      <c r="RM30" s="55"/>
      <c r="RN30" s="55"/>
      <c r="RO30" s="55"/>
      <c r="RP30" s="55"/>
      <c r="RQ30" s="55"/>
      <c r="RR30" s="55"/>
      <c r="RS30" s="55"/>
      <c r="RT30" s="55"/>
      <c r="RU30" s="55"/>
      <c r="RV30" s="55"/>
      <c r="RW30" s="55"/>
      <c r="RX30" s="55"/>
      <c r="RY30" s="55"/>
      <c r="RZ30" s="55"/>
      <c r="SA30" s="55"/>
      <c r="SB30" s="55"/>
      <c r="SC30" s="55"/>
      <c r="SD30" s="55"/>
      <c r="SE30" s="55"/>
      <c r="SF30" s="55"/>
      <c r="SG30" s="55"/>
      <c r="SH30" s="55"/>
      <c r="SI30" s="55"/>
      <c r="SJ30" s="55"/>
      <c r="SK30" s="55"/>
      <c r="SL30" s="55"/>
      <c r="SM30" s="55"/>
      <c r="SN30" s="55"/>
      <c r="SO30" s="55"/>
      <c r="SP30" s="55"/>
      <c r="SQ30" s="55"/>
      <c r="SR30" s="55"/>
      <c r="SS30" s="55"/>
      <c r="ST30" s="55"/>
      <c r="SU30" s="55"/>
      <c r="SV30" s="55"/>
      <c r="SW30" s="55"/>
      <c r="SX30" s="55"/>
      <c r="SY30" s="55"/>
      <c r="SZ30" s="55"/>
      <c r="TA30" s="55"/>
      <c r="TB30" s="55"/>
      <c r="TC30" s="55"/>
      <c r="TD30" s="55"/>
      <c r="TE30" s="55"/>
      <c r="TF30" s="55"/>
      <c r="TG30" s="55"/>
      <c r="TH30" s="55"/>
      <c r="TI30" s="55"/>
      <c r="TJ30" s="55"/>
      <c r="TK30" s="55"/>
      <c r="TL30" s="55"/>
      <c r="TM30" s="55"/>
      <c r="TN30" s="55"/>
      <c r="TO30" s="55"/>
      <c r="TP30" s="55"/>
      <c r="TQ30" s="55"/>
      <c r="TR30" s="55"/>
      <c r="TS30" s="55"/>
      <c r="TT30" s="55"/>
      <c r="TU30" s="55"/>
      <c r="TV30" s="55"/>
      <c r="TW30" s="55"/>
      <c r="TX30" s="55"/>
      <c r="TY30" s="55"/>
      <c r="TZ30" s="55"/>
      <c r="UA30" s="55"/>
      <c r="UB30" s="55"/>
      <c r="UC30" s="55"/>
      <c r="UD30" s="55"/>
      <c r="UE30" s="55"/>
      <c r="UF30" s="55"/>
      <c r="UG30" s="55"/>
      <c r="UH30" s="55"/>
      <c r="UI30" s="55"/>
      <c r="UJ30" s="55"/>
      <c r="UK30" s="55"/>
      <c r="UL30" s="55"/>
      <c r="UM30" s="55"/>
      <c r="UN30" s="55"/>
      <c r="UO30" s="55"/>
      <c r="UP30" s="55"/>
      <c r="UQ30" s="55"/>
      <c r="UR30" s="55"/>
      <c r="US30" s="55"/>
      <c r="UT30" s="55"/>
      <c r="UU30" s="55"/>
      <c r="UV30" s="55"/>
      <c r="UW30" s="55"/>
      <c r="UX30" s="55"/>
      <c r="UY30" s="55"/>
      <c r="UZ30" s="55"/>
      <c r="VA30" s="55"/>
      <c r="VB30" s="55"/>
      <c r="VC30" s="55"/>
      <c r="VD30" s="55"/>
      <c r="VE30" s="55"/>
      <c r="VF30" s="55"/>
      <c r="VG30" s="55"/>
      <c r="VH30" s="55"/>
      <c r="VI30" s="55"/>
      <c r="VJ30" s="55"/>
      <c r="VK30" s="55"/>
      <c r="VL30" s="55"/>
      <c r="VM30" s="55"/>
      <c r="VN30" s="55"/>
      <c r="VO30" s="55"/>
      <c r="VP30" s="55"/>
      <c r="VQ30" s="55"/>
      <c r="VR30" s="55"/>
      <c r="VS30" s="55"/>
      <c r="VT30" s="55"/>
      <c r="VU30" s="55"/>
      <c r="VV30" s="55"/>
      <c r="VW30" s="55"/>
      <c r="VX30" s="55"/>
      <c r="VY30" s="55"/>
      <c r="VZ30" s="55"/>
      <c r="WA30" s="55"/>
      <c r="WB30" s="55"/>
      <c r="WC30" s="55"/>
      <c r="WD30" s="55"/>
      <c r="WE30" s="55"/>
      <c r="WF30" s="55"/>
      <c r="WG30" s="55"/>
      <c r="WH30" s="55"/>
      <c r="WI30" s="55"/>
      <c r="WJ30" s="55"/>
      <c r="WK30" s="55"/>
      <c r="WL30" s="55"/>
      <c r="WM30" s="55"/>
      <c r="WN30" s="55"/>
      <c r="WO30" s="55"/>
      <c r="WP30" s="55"/>
      <c r="WQ30" s="55"/>
      <c r="WR30" s="55"/>
      <c r="WS30" s="55"/>
      <c r="WT30" s="55"/>
      <c r="WU30" s="55"/>
      <c r="WV30" s="55"/>
      <c r="WW30" s="55"/>
      <c r="WX30" s="55"/>
      <c r="WY30" s="55"/>
      <c r="WZ30" s="55"/>
      <c r="XA30" s="55"/>
      <c r="XB30" s="55"/>
      <c r="XC30" s="55"/>
      <c r="XD30" s="55"/>
      <c r="XE30" s="55"/>
      <c r="XF30" s="55"/>
      <c r="XG30" s="55"/>
      <c r="XH30" s="55"/>
      <c r="XI30" s="55"/>
      <c r="XJ30" s="55"/>
      <c r="XK30" s="55"/>
      <c r="XL30" s="55"/>
      <c r="XM30" s="55"/>
      <c r="XN30" s="55"/>
      <c r="XO30" s="55"/>
      <c r="XP30" s="55"/>
      <c r="XQ30" s="55"/>
      <c r="XR30" s="55"/>
      <c r="XS30" s="55"/>
      <c r="XT30" s="55"/>
      <c r="XU30" s="55"/>
      <c r="XV30" s="55"/>
      <c r="XW30" s="55"/>
      <c r="XX30" s="55"/>
      <c r="XY30" s="55"/>
      <c r="XZ30" s="55"/>
      <c r="YA30" s="55"/>
      <c r="YB30" s="55"/>
      <c r="YC30" s="55"/>
      <c r="YD30" s="55"/>
      <c r="YE30" s="55"/>
      <c r="YF30" s="55"/>
      <c r="YG30" s="55"/>
      <c r="YH30" s="55"/>
      <c r="YI30" s="55"/>
      <c r="YJ30" s="55"/>
      <c r="YK30" s="55"/>
      <c r="YL30" s="55"/>
      <c r="YM30" s="55"/>
      <c r="YN30" s="55"/>
      <c r="YO30" s="55"/>
      <c r="YP30" s="55"/>
      <c r="YQ30" s="55"/>
      <c r="YR30" s="55"/>
      <c r="YS30" s="55"/>
      <c r="YT30" s="55"/>
      <c r="YU30" s="55"/>
      <c r="YV30" s="55"/>
      <c r="YW30" s="55"/>
      <c r="YX30" s="55"/>
      <c r="YY30" s="55"/>
      <c r="YZ30" s="55"/>
      <c r="ZA30" s="55"/>
      <c r="ZB30" s="55"/>
      <c r="ZC30" s="55"/>
      <c r="ZD30" s="55"/>
      <c r="ZE30" s="55"/>
      <c r="ZF30" s="55"/>
      <c r="ZG30" s="55"/>
      <c r="ZH30" s="55"/>
      <c r="ZI30" s="55"/>
      <c r="ZJ30" s="55"/>
      <c r="ZK30" s="55"/>
      <c r="ZL30" s="55"/>
      <c r="ZM30" s="55"/>
      <c r="ZN30" s="55"/>
      <c r="ZO30" s="55"/>
      <c r="ZP30" s="55"/>
      <c r="ZQ30" s="55"/>
      <c r="ZR30" s="55"/>
      <c r="ZS30" s="55"/>
      <c r="ZT30" s="55"/>
      <c r="ZU30" s="55"/>
      <c r="ZV30" s="55"/>
      <c r="ZW30" s="55"/>
      <c r="ZX30" s="55"/>
      <c r="ZY30" s="55"/>
      <c r="ZZ30" s="55"/>
      <c r="AAA30" s="55"/>
      <c r="AAB30" s="55"/>
      <c r="AAC30" s="55"/>
      <c r="AAD30" s="55"/>
      <c r="AAE30" s="55"/>
      <c r="AAF30" s="55"/>
      <c r="AAG30" s="55"/>
      <c r="AAH30" s="55"/>
      <c r="AAI30" s="55"/>
      <c r="AAJ30" s="55"/>
      <c r="AAK30" s="55"/>
      <c r="AAL30" s="55"/>
      <c r="AAM30" s="55"/>
      <c r="AAN30" s="55"/>
      <c r="AAO30" s="55"/>
      <c r="AAP30" s="55"/>
      <c r="AAQ30" s="55"/>
      <c r="AAR30" s="55"/>
      <c r="AAS30" s="55"/>
      <c r="AAT30" s="55"/>
      <c r="AAU30" s="55"/>
      <c r="AAV30" s="55"/>
      <c r="AAW30" s="55"/>
      <c r="AAX30" s="55"/>
      <c r="AAY30" s="55"/>
      <c r="AAZ30" s="55"/>
      <c r="ABA30" s="55"/>
      <c r="ABB30" s="55"/>
      <c r="ABC30" s="55"/>
    </row>
    <row r="31" spans="1:731" ht="15" customHeight="1" x14ac:dyDescent="0.3">
      <c r="A31" s="407" t="s">
        <v>38</v>
      </c>
      <c r="B31" s="418"/>
      <c r="C31" s="306"/>
      <c r="D31" s="62" t="s">
        <v>11</v>
      </c>
      <c r="E31" s="307" t="s">
        <v>39</v>
      </c>
      <c r="F31" s="11">
        <f>J31/$F$2</f>
        <v>451.00629457949742</v>
      </c>
      <c r="G31" s="16">
        <f>K31/$F$2</f>
        <v>485.60437862840513</v>
      </c>
      <c r="H31" s="13">
        <f t="shared" si="24"/>
        <v>-34.598084048907708</v>
      </c>
      <c r="I31" s="14">
        <f t="shared" si="1"/>
        <v>-7.1247471340003921E-2</v>
      </c>
      <c r="J31" s="15">
        <f>[87]Dec!$G$4</f>
        <v>134639.44795465347</v>
      </c>
      <c r="K31" s="16">
        <f>[87]Dec!$H$4</f>
        <v>144968.05532137956</v>
      </c>
      <c r="L31" s="13">
        <f t="shared" si="25"/>
        <v>-10328.607366726093</v>
      </c>
      <c r="M31" s="14">
        <f t="shared" si="21"/>
        <v>-7.1247471340003921E-2</v>
      </c>
      <c r="N31" s="15">
        <f>[87]Dec!$K$4</f>
        <v>60316.207991653973</v>
      </c>
      <c r="O31" s="16">
        <f>[87]Dec!$L$4</f>
        <v>60541.546915128485</v>
      </c>
      <c r="P31" s="13">
        <f t="shared" si="26"/>
        <v>-225.33892347451183</v>
      </c>
      <c r="Q31" s="14">
        <f t="shared" si="2"/>
        <v>-3.7220542744044551E-3</v>
      </c>
      <c r="R31" s="15">
        <f>[87]Dec!$O$4</f>
        <v>0</v>
      </c>
      <c r="S31" s="16">
        <f>[87]Dec!$P$4</f>
        <v>0</v>
      </c>
      <c r="T31" s="13">
        <f t="shared" si="27"/>
        <v>0</v>
      </c>
      <c r="U31" s="14" t="str">
        <f t="shared" si="30"/>
        <v/>
      </c>
      <c r="V31" s="15">
        <f>[87]Dec!$S$4</f>
        <v>54050.568894796066</v>
      </c>
      <c r="W31" s="16">
        <f>[87]Dec!$T$4</f>
        <v>55937.674899872422</v>
      </c>
      <c r="X31" s="13">
        <f t="shared" si="28"/>
        <v>-1887.1060050763554</v>
      </c>
      <c r="Y31" s="14">
        <f t="shared" si="4"/>
        <v>-3.3735867793115215E-2</v>
      </c>
      <c r="Z31" s="15">
        <f>[87]Dec!$W$4</f>
        <v>6265.6390968579071</v>
      </c>
      <c r="AA31" s="16">
        <f>[87]Dec!$X$4</f>
        <v>4603.8720152560636</v>
      </c>
      <c r="AB31" s="13">
        <f t="shared" si="29"/>
        <v>1661.7670816018435</v>
      </c>
      <c r="AC31" s="19">
        <f t="shared" si="5"/>
        <v>0.36094988655096605</v>
      </c>
      <c r="AD31" s="137"/>
      <c r="AE31" s="137"/>
      <c r="AF31" s="108">
        <f t="shared" si="6"/>
        <v>0</v>
      </c>
      <c r="AG31" s="110" t="str">
        <f t="shared" si="7"/>
        <v/>
      </c>
      <c r="AH31" s="143"/>
      <c r="AI31" s="127"/>
      <c r="AJ31" s="108">
        <f t="shared" si="8"/>
        <v>0</v>
      </c>
      <c r="AK31" s="20" t="str">
        <f>IFERROR(IF(AI31&lt;0,-(AH31-AI31)/AI31,(AH31-AI31)/AI31),"")</f>
        <v/>
      </c>
      <c r="AL31" s="143">
        <f>[87]Dec!$W$4</f>
        <v>6265.6390968579071</v>
      </c>
      <c r="AM31" s="136">
        <f>[87]Dec!$X$4</f>
        <v>4603.8720152560636</v>
      </c>
      <c r="AN31" s="13">
        <f t="shared" si="9"/>
        <v>1661.7670816018435</v>
      </c>
      <c r="AO31" s="244">
        <f t="shared" si="10"/>
        <v>0.36094988655096605</v>
      </c>
      <c r="AP31" s="291" t="s">
        <v>95</v>
      </c>
      <c r="AQ31" s="22"/>
      <c r="AR31" s="1">
        <f t="shared" si="11"/>
        <v>0</v>
      </c>
      <c r="AS31" s="1">
        <f t="shared" si="12"/>
        <v>0</v>
      </c>
      <c r="AT31" s="1">
        <f t="shared" si="13"/>
        <v>0</v>
      </c>
      <c r="AU31" s="1">
        <f t="shared" si="14"/>
        <v>0</v>
      </c>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c r="HQ31" s="22"/>
      <c r="HR31" s="22"/>
      <c r="HS31" s="22"/>
      <c r="HT31" s="22"/>
      <c r="HU31" s="22"/>
      <c r="HV31" s="22"/>
      <c r="HW31" s="22"/>
      <c r="HX31" s="22"/>
      <c r="HY31" s="22"/>
      <c r="HZ31" s="22"/>
      <c r="IA31" s="22"/>
      <c r="IB31" s="22"/>
      <c r="IC31" s="22"/>
      <c r="ID31" s="22"/>
      <c r="IE31" s="22"/>
      <c r="IF31" s="22"/>
      <c r="IG31" s="22"/>
      <c r="IH31" s="22"/>
      <c r="II31" s="22"/>
      <c r="IJ31" s="22"/>
      <c r="IK31" s="22"/>
      <c r="IL31" s="22"/>
      <c r="IM31" s="22"/>
      <c r="IN31" s="22"/>
      <c r="IO31" s="22"/>
      <c r="IP31" s="22"/>
      <c r="IQ31" s="22"/>
      <c r="IR31" s="22"/>
      <c r="IS31" s="22"/>
      <c r="IT31" s="22"/>
      <c r="IU31" s="22"/>
      <c r="IV31" s="22"/>
      <c r="IW31" s="22"/>
      <c r="IX31" s="22"/>
      <c r="IY31" s="22"/>
      <c r="IZ31" s="22"/>
      <c r="JA31" s="22"/>
      <c r="JB31" s="22"/>
      <c r="JC31" s="22"/>
      <c r="JD31" s="22"/>
      <c r="JE31" s="22"/>
      <c r="JJ31" s="22"/>
      <c r="JK31" s="22"/>
      <c r="JL31" s="22"/>
      <c r="JM31" s="22"/>
      <c r="JN31" s="22"/>
      <c r="JO31" s="22"/>
      <c r="JP31" s="22"/>
      <c r="JQ31" s="22"/>
      <c r="JR31" s="22"/>
      <c r="JS31" s="22"/>
      <c r="JT31" s="22"/>
      <c r="JU31" s="22"/>
      <c r="JV31" s="22"/>
      <c r="JW31" s="22"/>
      <c r="JX31" s="22"/>
      <c r="JY31" s="22"/>
      <c r="JZ31" s="22"/>
      <c r="KA31" s="22"/>
      <c r="KB31" s="22"/>
      <c r="KC31" s="22"/>
      <c r="KD31" s="22"/>
      <c r="KE31" s="22"/>
      <c r="KF31" s="22"/>
      <c r="KG31" s="22"/>
      <c r="KH31" s="22"/>
      <c r="KI31" s="22"/>
      <c r="KJ31" s="22"/>
      <c r="KK31" s="22"/>
      <c r="KL31" s="22"/>
      <c r="KM31" s="22"/>
      <c r="KN31" s="22"/>
      <c r="KO31" s="22"/>
      <c r="KP31" s="22"/>
      <c r="KQ31" s="22"/>
      <c r="KR31" s="22"/>
      <c r="KS31" s="22"/>
      <c r="KT31" s="22"/>
      <c r="KU31" s="22"/>
      <c r="KV31" s="22"/>
      <c r="KW31" s="22"/>
      <c r="KX31" s="22"/>
      <c r="KY31" s="22"/>
      <c r="KZ31" s="22"/>
      <c r="LA31" s="22"/>
      <c r="LB31" s="22"/>
      <c r="LC31" s="22"/>
      <c r="LD31" s="22"/>
      <c r="LE31" s="22"/>
      <c r="LF31" s="22"/>
      <c r="LG31" s="22"/>
      <c r="LH31" s="22"/>
      <c r="LI31" s="22"/>
      <c r="LJ31" s="22"/>
      <c r="LK31" s="22"/>
      <c r="LL31" s="22"/>
      <c r="LM31" s="22"/>
      <c r="LN31" s="22"/>
      <c r="LO31" s="22"/>
      <c r="LP31" s="22"/>
      <c r="LQ31" s="22"/>
      <c r="LR31" s="22"/>
      <c r="LS31" s="22"/>
      <c r="LT31" s="22"/>
      <c r="LU31" s="22"/>
      <c r="LV31" s="22"/>
      <c r="LW31" s="22"/>
      <c r="LX31" s="22"/>
      <c r="LY31" s="22"/>
      <c r="LZ31" s="22"/>
      <c r="MA31" s="22"/>
      <c r="MB31" s="22"/>
      <c r="MC31" s="22"/>
      <c r="MD31" s="22"/>
      <c r="ME31" s="22"/>
      <c r="MF31" s="22"/>
      <c r="MG31" s="22"/>
      <c r="MH31" s="22"/>
      <c r="MI31" s="22"/>
      <c r="MJ31" s="22"/>
      <c r="MK31" s="22"/>
      <c r="ML31" s="22"/>
      <c r="MM31" s="22"/>
      <c r="MN31" s="22"/>
      <c r="MO31" s="22"/>
      <c r="MP31" s="22"/>
      <c r="MQ31" s="22"/>
      <c r="MR31" s="22"/>
      <c r="MS31" s="22"/>
      <c r="MT31" s="22"/>
      <c r="MU31" s="22"/>
      <c r="MV31" s="22"/>
      <c r="MW31" s="22"/>
      <c r="MX31" s="22"/>
      <c r="MY31" s="22"/>
      <c r="MZ31" s="22"/>
      <c r="NA31" s="22"/>
      <c r="NB31" s="22"/>
      <c r="NC31" s="22"/>
      <c r="ND31" s="22"/>
      <c r="NE31" s="22"/>
      <c r="NF31" s="22"/>
      <c r="NG31" s="22"/>
      <c r="NH31" s="22"/>
      <c r="NI31" s="22"/>
      <c r="NJ31" s="22"/>
      <c r="NK31" s="22"/>
      <c r="NL31" s="22"/>
      <c r="NM31" s="22"/>
      <c r="NN31" s="22"/>
      <c r="NO31" s="22"/>
      <c r="NP31" s="22"/>
      <c r="NQ31" s="22"/>
      <c r="NR31" s="22"/>
      <c r="NS31" s="22"/>
      <c r="NT31" s="22"/>
      <c r="NU31" s="22"/>
      <c r="NV31" s="22"/>
      <c r="NW31" s="22"/>
      <c r="NX31" s="22"/>
      <c r="NY31" s="22"/>
      <c r="NZ31" s="22"/>
      <c r="OA31" s="22"/>
      <c r="OB31" s="22"/>
      <c r="OC31" s="22"/>
      <c r="OD31" s="22"/>
      <c r="OE31" s="22"/>
      <c r="OF31" s="22"/>
      <c r="OG31" s="22"/>
      <c r="OH31" s="22"/>
      <c r="OI31" s="22"/>
      <c r="OJ31" s="22"/>
      <c r="OK31" s="22"/>
      <c r="OL31" s="22"/>
      <c r="OM31" s="22"/>
      <c r="ON31" s="22"/>
      <c r="OO31" s="22"/>
      <c r="OP31" s="22"/>
      <c r="OQ31" s="22"/>
      <c r="OR31" s="22"/>
      <c r="OS31" s="22"/>
      <c r="OT31" s="22"/>
      <c r="OU31" s="22"/>
      <c r="OV31" s="22"/>
      <c r="OW31" s="22"/>
      <c r="OX31" s="22"/>
      <c r="OY31" s="22"/>
      <c r="OZ31" s="22"/>
      <c r="PA31" s="22"/>
      <c r="PB31" s="22"/>
      <c r="PC31" s="22"/>
      <c r="PD31" s="22"/>
      <c r="PE31" s="22"/>
      <c r="PF31" s="22"/>
      <c r="PG31" s="22"/>
      <c r="PH31" s="22"/>
      <c r="PI31" s="22"/>
      <c r="PJ31" s="22"/>
      <c r="PK31" s="22"/>
      <c r="PL31" s="22"/>
      <c r="PM31" s="22"/>
      <c r="PN31" s="22"/>
      <c r="PO31" s="22"/>
      <c r="PP31" s="22"/>
      <c r="PQ31" s="22"/>
      <c r="PR31" s="22"/>
      <c r="PS31" s="22"/>
      <c r="PT31" s="22"/>
      <c r="PU31" s="22"/>
      <c r="PV31" s="22"/>
      <c r="PW31" s="22"/>
      <c r="PX31" s="22"/>
      <c r="PY31" s="22"/>
      <c r="PZ31" s="22"/>
      <c r="QA31" s="22"/>
      <c r="QB31" s="22"/>
      <c r="QC31" s="22"/>
      <c r="QD31" s="22"/>
      <c r="QE31" s="22"/>
      <c r="QF31" s="22"/>
      <c r="QG31" s="22"/>
      <c r="QH31" s="22"/>
      <c r="QI31" s="22"/>
      <c r="QJ31" s="22"/>
      <c r="QK31" s="22"/>
      <c r="QL31" s="22"/>
      <c r="QM31" s="22"/>
      <c r="QN31" s="22"/>
      <c r="QO31" s="22"/>
      <c r="QP31" s="22"/>
      <c r="QQ31" s="22"/>
      <c r="QR31" s="22"/>
      <c r="QS31" s="22"/>
      <c r="QT31" s="22"/>
      <c r="QU31" s="22"/>
      <c r="QV31" s="22"/>
      <c r="QW31" s="22"/>
      <c r="QX31" s="22"/>
      <c r="QY31" s="22"/>
      <c r="QZ31" s="22"/>
      <c r="RA31" s="22"/>
      <c r="RB31" s="22"/>
      <c r="RC31" s="22"/>
      <c r="RD31" s="22"/>
      <c r="RE31" s="22"/>
      <c r="RF31" s="22"/>
      <c r="RG31" s="22"/>
      <c r="RH31" s="22"/>
      <c r="RI31" s="22"/>
      <c r="RJ31" s="22"/>
      <c r="RK31" s="22"/>
      <c r="RL31" s="22"/>
      <c r="RM31" s="22"/>
      <c r="RN31" s="22"/>
      <c r="RO31" s="22"/>
      <c r="RP31" s="22"/>
      <c r="RQ31" s="22"/>
      <c r="RR31" s="22"/>
      <c r="RS31" s="22"/>
      <c r="RT31" s="22"/>
      <c r="RU31" s="22"/>
      <c r="RV31" s="22"/>
      <c r="RW31" s="22"/>
      <c r="RX31" s="22"/>
      <c r="RY31" s="22"/>
      <c r="RZ31" s="22"/>
      <c r="SA31" s="22"/>
      <c r="SB31" s="22"/>
      <c r="SC31" s="22"/>
      <c r="SD31" s="22"/>
      <c r="SE31" s="22"/>
      <c r="SF31" s="22"/>
      <c r="SG31" s="22"/>
      <c r="SH31" s="22"/>
      <c r="SI31" s="22"/>
      <c r="SJ31" s="22"/>
      <c r="SK31" s="22"/>
      <c r="SL31" s="22"/>
      <c r="SM31" s="22"/>
      <c r="SN31" s="22"/>
      <c r="SO31" s="22"/>
      <c r="SP31" s="22"/>
      <c r="SQ31" s="22"/>
      <c r="SR31" s="22"/>
      <c r="SS31" s="22"/>
      <c r="ST31" s="22"/>
      <c r="SU31" s="22"/>
      <c r="SV31" s="22"/>
      <c r="SW31" s="22"/>
      <c r="SX31" s="22"/>
      <c r="SY31" s="22"/>
      <c r="SZ31" s="22"/>
      <c r="TA31" s="22"/>
      <c r="TB31" s="22"/>
      <c r="TC31" s="22"/>
      <c r="TD31" s="22"/>
      <c r="TE31" s="22"/>
      <c r="TF31" s="22"/>
      <c r="TG31" s="22"/>
      <c r="TH31" s="22"/>
      <c r="TI31" s="22"/>
      <c r="TJ31" s="22"/>
      <c r="TK31" s="22"/>
      <c r="TL31" s="22"/>
      <c r="TM31" s="22"/>
      <c r="TN31" s="22"/>
      <c r="TO31" s="22"/>
      <c r="TP31" s="22"/>
      <c r="TQ31" s="22"/>
      <c r="TR31" s="22"/>
      <c r="TS31" s="22"/>
      <c r="TT31" s="22"/>
      <c r="TU31" s="22"/>
      <c r="TV31" s="22"/>
      <c r="TW31" s="22"/>
      <c r="TX31" s="22"/>
      <c r="TY31" s="22"/>
      <c r="TZ31" s="22"/>
      <c r="UA31" s="22"/>
      <c r="UB31" s="22"/>
      <c r="UC31" s="22"/>
      <c r="UD31" s="22"/>
      <c r="UE31" s="22"/>
      <c r="UF31" s="22"/>
      <c r="UG31" s="22"/>
      <c r="UH31" s="22"/>
      <c r="UI31" s="22"/>
      <c r="UJ31" s="22"/>
      <c r="UK31" s="22"/>
      <c r="UL31" s="22"/>
      <c r="UM31" s="22"/>
      <c r="UN31" s="22"/>
      <c r="UO31" s="22"/>
      <c r="UP31" s="22"/>
      <c r="UQ31" s="22"/>
      <c r="UR31" s="22"/>
      <c r="US31" s="22"/>
      <c r="UT31" s="22"/>
      <c r="UU31" s="22"/>
      <c r="UV31" s="22"/>
      <c r="UW31" s="22"/>
      <c r="UX31" s="22"/>
      <c r="UY31" s="22"/>
      <c r="UZ31" s="22"/>
      <c r="VA31" s="22"/>
      <c r="VB31" s="22"/>
      <c r="VC31" s="22"/>
      <c r="VD31" s="22"/>
      <c r="VE31" s="22"/>
      <c r="VF31" s="22"/>
      <c r="VG31" s="22"/>
      <c r="VH31" s="22"/>
      <c r="VI31" s="22"/>
      <c r="VJ31" s="22"/>
      <c r="VK31" s="22"/>
      <c r="VL31" s="22"/>
      <c r="VM31" s="22"/>
      <c r="VN31" s="22"/>
      <c r="VO31" s="22"/>
      <c r="VP31" s="22"/>
      <c r="VQ31" s="22"/>
      <c r="VR31" s="22"/>
      <c r="VS31" s="22"/>
      <c r="VT31" s="22"/>
      <c r="VU31" s="22"/>
      <c r="VV31" s="22"/>
      <c r="VW31" s="22"/>
      <c r="VX31" s="22"/>
      <c r="VY31" s="22"/>
      <c r="VZ31" s="22"/>
      <c r="WA31" s="22"/>
      <c r="WB31" s="22"/>
      <c r="WC31" s="22"/>
      <c r="WD31" s="22"/>
      <c r="WE31" s="22"/>
      <c r="WF31" s="22"/>
      <c r="WG31" s="22"/>
      <c r="WH31" s="22"/>
      <c r="WI31" s="22"/>
      <c r="WJ31" s="22"/>
      <c r="WK31" s="22"/>
      <c r="WL31" s="22"/>
      <c r="WM31" s="22"/>
      <c r="WN31" s="22"/>
      <c r="WO31" s="22"/>
      <c r="WP31" s="22"/>
      <c r="WQ31" s="22"/>
      <c r="WR31" s="22"/>
      <c r="WS31" s="22"/>
      <c r="WT31" s="22"/>
      <c r="WU31" s="22"/>
      <c r="WV31" s="22"/>
      <c r="WW31" s="22"/>
      <c r="WX31" s="22"/>
      <c r="WY31" s="22"/>
      <c r="WZ31" s="22"/>
      <c r="XA31" s="22"/>
      <c r="XB31" s="22"/>
      <c r="XC31" s="22"/>
      <c r="XD31" s="22"/>
      <c r="XE31" s="22"/>
      <c r="XF31" s="22"/>
      <c r="XG31" s="22"/>
      <c r="XH31" s="22"/>
      <c r="XI31" s="22"/>
      <c r="XJ31" s="22"/>
      <c r="XK31" s="22"/>
      <c r="XL31" s="22"/>
      <c r="XM31" s="22"/>
      <c r="XN31" s="22"/>
      <c r="XO31" s="22"/>
      <c r="XP31" s="22"/>
      <c r="XQ31" s="22"/>
      <c r="XR31" s="22"/>
      <c r="XS31" s="22"/>
      <c r="XT31" s="22"/>
      <c r="XU31" s="22"/>
      <c r="XV31" s="22"/>
      <c r="XW31" s="22"/>
      <c r="XX31" s="22"/>
      <c r="XY31" s="22"/>
      <c r="XZ31" s="22"/>
      <c r="YA31" s="22"/>
      <c r="YB31" s="22"/>
      <c r="YC31" s="22"/>
      <c r="YD31" s="22"/>
      <c r="YE31" s="22"/>
      <c r="YF31" s="22"/>
      <c r="YG31" s="22"/>
      <c r="YH31" s="22"/>
      <c r="YI31" s="22"/>
      <c r="YJ31" s="22"/>
      <c r="YK31" s="22"/>
      <c r="YL31" s="22"/>
      <c r="YM31" s="22"/>
      <c r="YN31" s="22"/>
      <c r="YO31" s="22"/>
      <c r="YP31" s="22"/>
      <c r="YQ31" s="22"/>
      <c r="YR31" s="22"/>
      <c r="YS31" s="22"/>
      <c r="YT31" s="22"/>
      <c r="YU31" s="22"/>
      <c r="YV31" s="22"/>
      <c r="YW31" s="22"/>
      <c r="YX31" s="22"/>
      <c r="YY31" s="22"/>
      <c r="YZ31" s="22"/>
      <c r="ZA31" s="22"/>
      <c r="ZB31" s="22"/>
      <c r="ZC31" s="22"/>
      <c r="ZD31" s="22"/>
      <c r="ZE31" s="22"/>
      <c r="ZF31" s="22"/>
      <c r="ZG31" s="22"/>
      <c r="ZH31" s="22"/>
      <c r="ZI31" s="22"/>
      <c r="ZJ31" s="22"/>
      <c r="ZK31" s="22"/>
      <c r="ZL31" s="22"/>
      <c r="ZM31" s="22"/>
      <c r="ZN31" s="22"/>
      <c r="ZO31" s="22"/>
      <c r="ZP31" s="22"/>
      <c r="ZQ31" s="22"/>
      <c r="ZR31" s="22"/>
      <c r="ZS31" s="22"/>
      <c r="ZT31" s="22"/>
      <c r="ZU31" s="22"/>
      <c r="ZV31" s="22"/>
      <c r="ZW31" s="22"/>
      <c r="ZX31" s="22"/>
      <c r="ZY31" s="22"/>
      <c r="ZZ31" s="22"/>
      <c r="AAA31" s="22"/>
      <c r="AAB31" s="22"/>
      <c r="AAC31" s="22"/>
      <c r="AAD31" s="22"/>
      <c r="AAE31" s="22"/>
      <c r="AAF31" s="22"/>
      <c r="AAG31" s="22"/>
      <c r="AAH31" s="22"/>
      <c r="AAI31" s="22"/>
      <c r="AAJ31" s="22"/>
      <c r="AAK31" s="22"/>
      <c r="AAL31" s="22"/>
      <c r="AAM31" s="22"/>
      <c r="AAN31" s="22"/>
      <c r="AAO31" s="22"/>
      <c r="AAP31" s="22"/>
      <c r="AAQ31" s="22"/>
      <c r="AAR31" s="22"/>
      <c r="AAS31" s="22"/>
      <c r="AAT31" s="22"/>
      <c r="AAU31" s="22"/>
      <c r="AAV31" s="22"/>
      <c r="AAW31" s="22"/>
      <c r="AAX31" s="22"/>
      <c r="AAY31" s="22"/>
      <c r="AAZ31" s="22"/>
      <c r="ABA31" s="22"/>
      <c r="ABB31" s="22"/>
      <c r="ABC31" s="22"/>
    </row>
    <row r="32" spans="1:731" ht="15" customHeight="1" thickBot="1" x14ac:dyDescent="0.35">
      <c r="A32" s="408"/>
      <c r="B32" s="418"/>
      <c r="C32" s="306"/>
      <c r="D32" s="62" t="s">
        <v>11</v>
      </c>
      <c r="E32" s="63" t="s">
        <v>40</v>
      </c>
      <c r="F32" s="11">
        <f>J32/$F$2</f>
        <v>236.69713160893872</v>
      </c>
      <c r="G32" s="16">
        <f>K32/$F$2</f>
        <v>318.35528134491818</v>
      </c>
      <c r="H32" s="31">
        <f t="shared" si="24"/>
        <v>-81.658149735979464</v>
      </c>
      <c r="I32" s="14">
        <f t="shared" si="1"/>
        <v>-0.25650006304593997</v>
      </c>
      <c r="J32" s="33">
        <f>[87]Dec!$G$5</f>
        <v>70661.477490000005</v>
      </c>
      <c r="K32" s="34">
        <f>[87]Dec!$H$5</f>
        <v>95038.982490681898</v>
      </c>
      <c r="L32" s="31">
        <f t="shared" ref="L32" si="48">J32-K32</f>
        <v>-24377.505000681893</v>
      </c>
      <c r="M32" s="14">
        <f t="shared" ref="M32" si="49">IFERROR(IF(K32&lt;0,-(J32-K32)/K32,(J32-K32)/K32),"")</f>
        <v>-0.25650006304593997</v>
      </c>
      <c r="N32" s="33">
        <f>[87]Dec!$K$5</f>
        <v>37430.716877535066</v>
      </c>
      <c r="O32" s="34">
        <f>[87]Dec!$L$5</f>
        <v>46374.914860570214</v>
      </c>
      <c r="P32" s="31">
        <f t="shared" ref="P32" si="50">N32-O32</f>
        <v>-8944.1979830351484</v>
      </c>
      <c r="Q32" s="14">
        <f t="shared" ref="Q32" si="51">IFERROR(IF(O32&lt;0,-(N32-O32)/O32,(N32-O32)/O32),"")</f>
        <v>-0.19286715695169629</v>
      </c>
      <c r="R32" s="33">
        <f>[87]Dec!$O$5</f>
        <v>394.80399999999997</v>
      </c>
      <c r="S32" s="34">
        <f>[87]Dec!$P$5</f>
        <v>0</v>
      </c>
      <c r="T32" s="31">
        <f t="shared" ref="T32" si="52">R32-S32</f>
        <v>394.80399999999997</v>
      </c>
      <c r="U32" s="14" t="str">
        <f t="shared" ref="U32" si="53">IFERROR(IF(S32&lt;0,-(R32-S32)/S32,(R32-S32)/S32),"")</f>
        <v/>
      </c>
      <c r="V32" s="33">
        <f>[87]Dec!$S$5</f>
        <v>29015.00527253333</v>
      </c>
      <c r="W32" s="34">
        <f>[87]Dec!$T$5</f>
        <v>30076.560682265408</v>
      </c>
      <c r="X32" s="31">
        <f t="shared" ref="X32" si="54">V32-W32</f>
        <v>-1061.5554097320783</v>
      </c>
      <c r="Y32" s="14">
        <f t="shared" ref="Y32" si="55">IFERROR(IF(W32&lt;0,-(V32-W32)/W32,(V32-W32)/W32),"")</f>
        <v>-3.5295106410156214E-2</v>
      </c>
      <c r="Z32" s="33">
        <f>[87]Dec!$W$5</f>
        <v>8810.5156050017322</v>
      </c>
      <c r="AA32" s="34">
        <f>[87]Dec!$X$5</f>
        <v>16298.354178304806</v>
      </c>
      <c r="AB32" s="31">
        <f t="shared" ref="AB32" si="56">Z32-AA32</f>
        <v>-7487.8385733030736</v>
      </c>
      <c r="AC32" s="19">
        <f t="shared" ref="AC32" si="57">IFERROR(IF(AA32&lt;0,-(Z32-AA32)/AA32,(Z32-AA32)/AA32),"")</f>
        <v>-0.45942298782967572</v>
      </c>
      <c r="AD32" s="137"/>
      <c r="AE32" s="137"/>
      <c r="AF32" s="108">
        <f t="shared" ref="AF32" si="58">AD32-AE32</f>
        <v>0</v>
      </c>
      <c r="AG32" s="110" t="str">
        <f t="shared" ref="AG32" si="59">IFERROR(IF(AE32&lt;0,-(AD32-AE32)/AE32,(AD32-AE32)/AE32),"")</f>
        <v/>
      </c>
      <c r="AH32" s="143"/>
      <c r="AI32" s="127"/>
      <c r="AJ32" s="108">
        <f t="shared" ref="AJ32" si="60">AH32-AI32</f>
        <v>0</v>
      </c>
      <c r="AK32" s="20" t="str">
        <f>IFERROR(IF(AI32&lt;0,-(AH32-AI32)/AI32,(AH32-AI32)/AI32),"")</f>
        <v/>
      </c>
      <c r="AL32" s="143">
        <f>[87]Dec!$W$5</f>
        <v>8810.5156050017322</v>
      </c>
      <c r="AM32" s="136">
        <f>[87]Dec!$X$5</f>
        <v>16298.354178304806</v>
      </c>
      <c r="AN32" s="13">
        <f t="shared" ref="AN32" si="61">AL32-AM32</f>
        <v>-7487.8385733030736</v>
      </c>
      <c r="AO32" s="244">
        <f t="shared" ref="AO32" si="62">IFERROR(IF(AM32&lt;0,-(AL32-AM32)/AM32,(AL32-AM32)/AM32),"")</f>
        <v>-0.45942298782967572</v>
      </c>
      <c r="AP32" s="291" t="s">
        <v>95</v>
      </c>
      <c r="AQ32" s="22"/>
      <c r="AR32" s="1">
        <f t="shared" si="11"/>
        <v>0</v>
      </c>
      <c r="AS32" s="1">
        <f t="shared" si="12"/>
        <v>0</v>
      </c>
      <c r="AT32" s="1">
        <f t="shared" si="13"/>
        <v>0</v>
      </c>
      <c r="AU32" s="1">
        <f t="shared" si="14"/>
        <v>0</v>
      </c>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HB32" s="22"/>
      <c r="HC32" s="22"/>
      <c r="HD32" s="22"/>
      <c r="HE32" s="22"/>
      <c r="HF32" s="22"/>
      <c r="HG32" s="22"/>
      <c r="HH32" s="22"/>
      <c r="HI32" s="22"/>
      <c r="HJ32" s="22"/>
      <c r="HK32" s="22"/>
      <c r="HL32" s="22"/>
      <c r="HM32" s="22"/>
      <c r="HN32" s="22"/>
      <c r="HO32" s="22"/>
      <c r="HP32" s="22"/>
      <c r="HQ32" s="22"/>
      <c r="HR32" s="22"/>
      <c r="HS32" s="22"/>
      <c r="HT32" s="22"/>
      <c r="HU32" s="22"/>
      <c r="HV32" s="22"/>
      <c r="HW32" s="22"/>
      <c r="HX32" s="22"/>
      <c r="HY32" s="22"/>
      <c r="HZ32" s="22"/>
      <c r="IA32" s="22"/>
      <c r="IB32" s="22"/>
      <c r="IC32" s="22"/>
      <c r="ID32" s="22"/>
      <c r="IE32" s="22"/>
      <c r="IF32" s="22"/>
      <c r="IG32" s="22"/>
      <c r="IH32" s="22"/>
      <c r="II32" s="22"/>
      <c r="IJ32" s="22"/>
      <c r="IK32" s="22"/>
      <c r="IL32" s="22"/>
      <c r="IM32" s="22"/>
      <c r="IN32" s="22"/>
      <c r="IO32" s="22"/>
      <c r="IP32" s="22"/>
      <c r="IQ32" s="22"/>
      <c r="IR32" s="22"/>
      <c r="IS32" s="22"/>
      <c r="IT32" s="22"/>
      <c r="IU32" s="22"/>
      <c r="IV32" s="22"/>
      <c r="IW32" s="22"/>
      <c r="IX32" s="22"/>
      <c r="IY32" s="22"/>
      <c r="IZ32" s="22"/>
      <c r="JA32" s="22"/>
      <c r="JB32" s="22"/>
      <c r="JC32" s="22"/>
      <c r="JD32" s="22"/>
      <c r="JE32" s="22"/>
      <c r="JJ32" s="22"/>
      <c r="JK32" s="22"/>
      <c r="JL32" s="22"/>
      <c r="JM32" s="22"/>
      <c r="JN32" s="22"/>
      <c r="JO32" s="22"/>
      <c r="JP32" s="22"/>
      <c r="JQ32" s="22"/>
      <c r="JR32" s="22"/>
      <c r="JS32" s="22"/>
      <c r="JT32" s="22"/>
      <c r="JU32" s="22"/>
      <c r="JV32" s="22"/>
      <c r="JW32" s="22"/>
      <c r="JX32" s="22"/>
      <c r="JY32" s="22"/>
      <c r="JZ32" s="22"/>
      <c r="KA32" s="22"/>
      <c r="KB32" s="22"/>
      <c r="KC32" s="22"/>
      <c r="KD32" s="22"/>
      <c r="KE32" s="22"/>
      <c r="KF32" s="22"/>
      <c r="KG32" s="22"/>
      <c r="KH32" s="22"/>
      <c r="KI32" s="22"/>
      <c r="KJ32" s="22"/>
      <c r="KK32" s="22"/>
      <c r="KL32" s="22"/>
      <c r="KM32" s="22"/>
      <c r="KN32" s="22"/>
      <c r="KO32" s="22"/>
      <c r="KP32" s="22"/>
      <c r="KQ32" s="22"/>
      <c r="KR32" s="22"/>
      <c r="KS32" s="22"/>
      <c r="KT32" s="22"/>
      <c r="KU32" s="22"/>
      <c r="KV32" s="22"/>
      <c r="KW32" s="22"/>
      <c r="KX32" s="22"/>
      <c r="KY32" s="22"/>
      <c r="KZ32" s="22"/>
      <c r="LA32" s="22"/>
      <c r="LB32" s="22"/>
      <c r="LC32" s="22"/>
      <c r="LD32" s="22"/>
      <c r="LE32" s="22"/>
      <c r="LF32" s="22"/>
      <c r="LG32" s="22"/>
      <c r="LH32" s="22"/>
      <c r="LI32" s="22"/>
      <c r="LJ32" s="22"/>
      <c r="LK32" s="22"/>
      <c r="LL32" s="22"/>
      <c r="LM32" s="22"/>
      <c r="LN32" s="22"/>
      <c r="LO32" s="22"/>
      <c r="LP32" s="22"/>
      <c r="LQ32" s="22"/>
      <c r="LR32" s="22"/>
      <c r="LS32" s="22"/>
      <c r="LT32" s="22"/>
      <c r="LU32" s="22"/>
      <c r="LV32" s="22"/>
      <c r="LW32" s="22"/>
      <c r="LX32" s="22"/>
      <c r="LY32" s="22"/>
      <c r="LZ32" s="22"/>
      <c r="MA32" s="22"/>
      <c r="MB32" s="22"/>
      <c r="MC32" s="22"/>
      <c r="MD32" s="22"/>
      <c r="ME32" s="22"/>
      <c r="MF32" s="22"/>
      <c r="MG32" s="22"/>
      <c r="MH32" s="22"/>
      <c r="MI32" s="22"/>
      <c r="MJ32" s="22"/>
      <c r="MK32" s="22"/>
      <c r="ML32" s="22"/>
      <c r="MM32" s="22"/>
      <c r="MN32" s="22"/>
      <c r="MO32" s="22"/>
      <c r="MP32" s="22"/>
      <c r="MQ32" s="22"/>
      <c r="MR32" s="22"/>
      <c r="MS32" s="22"/>
      <c r="MT32" s="22"/>
      <c r="MU32" s="22"/>
      <c r="MV32" s="22"/>
      <c r="MW32" s="22"/>
      <c r="MX32" s="22"/>
      <c r="MY32" s="22"/>
      <c r="MZ32" s="22"/>
      <c r="NA32" s="22"/>
      <c r="NB32" s="22"/>
      <c r="NC32" s="22"/>
      <c r="ND32" s="22"/>
      <c r="NE32" s="22"/>
      <c r="NF32" s="22"/>
      <c r="NG32" s="22"/>
      <c r="NH32" s="22"/>
      <c r="NI32" s="22"/>
      <c r="NJ32" s="22"/>
      <c r="NK32" s="22"/>
      <c r="NL32" s="22"/>
      <c r="NM32" s="22"/>
      <c r="NN32" s="22"/>
      <c r="NO32" s="22"/>
      <c r="NP32" s="22"/>
      <c r="NQ32" s="22"/>
      <c r="NR32" s="22"/>
      <c r="NS32" s="22"/>
      <c r="NT32" s="22"/>
      <c r="NU32" s="22"/>
      <c r="NV32" s="22"/>
      <c r="NW32" s="22"/>
      <c r="NX32" s="22"/>
      <c r="NY32" s="22"/>
      <c r="NZ32" s="22"/>
      <c r="OA32" s="22"/>
      <c r="OB32" s="22"/>
      <c r="OC32" s="22"/>
      <c r="OD32" s="22"/>
      <c r="OE32" s="22"/>
      <c r="OF32" s="22"/>
      <c r="OG32" s="22"/>
      <c r="OH32" s="22"/>
      <c r="OI32" s="22"/>
      <c r="OJ32" s="22"/>
      <c r="OK32" s="22"/>
      <c r="OL32" s="22"/>
      <c r="OM32" s="22"/>
      <c r="ON32" s="22"/>
      <c r="OO32" s="22"/>
      <c r="OP32" s="22"/>
      <c r="OQ32" s="22"/>
      <c r="OR32" s="22"/>
      <c r="OS32" s="22"/>
      <c r="OT32" s="22"/>
      <c r="OU32" s="22"/>
      <c r="OV32" s="22"/>
      <c r="OW32" s="22"/>
      <c r="OX32" s="22"/>
      <c r="OY32" s="22"/>
      <c r="OZ32" s="22"/>
      <c r="PA32" s="22"/>
      <c r="PB32" s="22"/>
      <c r="PC32" s="22"/>
      <c r="PD32" s="22"/>
      <c r="PE32" s="22"/>
      <c r="PF32" s="22"/>
      <c r="PG32" s="22"/>
      <c r="PH32" s="22"/>
      <c r="PI32" s="22"/>
      <c r="PJ32" s="22"/>
      <c r="PK32" s="22"/>
      <c r="PL32" s="22"/>
      <c r="PM32" s="22"/>
      <c r="PN32" s="22"/>
      <c r="PO32" s="22"/>
      <c r="PP32" s="22"/>
      <c r="PQ32" s="22"/>
      <c r="PR32" s="22"/>
      <c r="PS32" s="22"/>
      <c r="PT32" s="22"/>
      <c r="PU32" s="22"/>
      <c r="PV32" s="22"/>
      <c r="PW32" s="22"/>
      <c r="PX32" s="22"/>
      <c r="PY32" s="22"/>
      <c r="PZ32" s="22"/>
      <c r="QA32" s="22"/>
      <c r="QB32" s="22"/>
      <c r="QC32" s="22"/>
      <c r="QD32" s="22"/>
      <c r="QE32" s="22"/>
      <c r="QF32" s="22"/>
      <c r="QG32" s="22"/>
      <c r="QH32" s="22"/>
      <c r="QI32" s="22"/>
      <c r="QJ32" s="22"/>
      <c r="QK32" s="22"/>
      <c r="QL32" s="22"/>
      <c r="QM32" s="22"/>
      <c r="QN32" s="22"/>
      <c r="QO32" s="22"/>
      <c r="QP32" s="22"/>
      <c r="QQ32" s="22"/>
      <c r="QR32" s="22"/>
      <c r="QS32" s="22"/>
      <c r="QT32" s="22"/>
      <c r="QU32" s="22"/>
      <c r="QV32" s="22"/>
      <c r="QW32" s="22"/>
      <c r="QX32" s="22"/>
      <c r="QY32" s="22"/>
      <c r="QZ32" s="22"/>
      <c r="RA32" s="22"/>
      <c r="RB32" s="22"/>
      <c r="RC32" s="22"/>
      <c r="RD32" s="22"/>
      <c r="RE32" s="22"/>
      <c r="RF32" s="22"/>
      <c r="RG32" s="22"/>
      <c r="RH32" s="22"/>
      <c r="RI32" s="22"/>
      <c r="RJ32" s="22"/>
      <c r="RK32" s="22"/>
      <c r="RL32" s="22"/>
      <c r="RM32" s="22"/>
      <c r="RN32" s="22"/>
      <c r="RO32" s="22"/>
      <c r="RP32" s="22"/>
      <c r="RQ32" s="22"/>
      <c r="RR32" s="22"/>
      <c r="RS32" s="22"/>
      <c r="RT32" s="22"/>
      <c r="RU32" s="22"/>
      <c r="RV32" s="22"/>
      <c r="RW32" s="22"/>
      <c r="RX32" s="22"/>
      <c r="RY32" s="22"/>
      <c r="RZ32" s="22"/>
      <c r="SA32" s="22"/>
      <c r="SB32" s="22"/>
      <c r="SC32" s="22"/>
      <c r="SD32" s="22"/>
      <c r="SE32" s="22"/>
      <c r="SF32" s="22"/>
      <c r="SG32" s="22"/>
      <c r="SH32" s="22"/>
      <c r="SI32" s="22"/>
      <c r="SJ32" s="22"/>
      <c r="SK32" s="22"/>
      <c r="SL32" s="22"/>
      <c r="SM32" s="22"/>
      <c r="SN32" s="22"/>
      <c r="SO32" s="22"/>
      <c r="SP32" s="22"/>
      <c r="SQ32" s="22"/>
      <c r="SR32" s="22"/>
      <c r="SS32" s="22"/>
      <c r="ST32" s="22"/>
      <c r="SU32" s="22"/>
      <c r="SV32" s="22"/>
      <c r="SW32" s="22"/>
      <c r="SX32" s="22"/>
      <c r="SY32" s="22"/>
      <c r="SZ32" s="22"/>
      <c r="TA32" s="22"/>
      <c r="TB32" s="22"/>
      <c r="TC32" s="22"/>
      <c r="TD32" s="22"/>
      <c r="TE32" s="22"/>
      <c r="TF32" s="22"/>
      <c r="TG32" s="22"/>
      <c r="TH32" s="22"/>
      <c r="TI32" s="22"/>
      <c r="TJ32" s="22"/>
      <c r="TK32" s="22"/>
      <c r="TL32" s="22"/>
      <c r="TM32" s="22"/>
      <c r="TN32" s="22"/>
      <c r="TO32" s="22"/>
      <c r="TP32" s="22"/>
      <c r="TQ32" s="22"/>
      <c r="TR32" s="22"/>
      <c r="TS32" s="22"/>
      <c r="TT32" s="22"/>
      <c r="TU32" s="22"/>
      <c r="TV32" s="22"/>
      <c r="TW32" s="22"/>
      <c r="TX32" s="22"/>
      <c r="TY32" s="22"/>
      <c r="TZ32" s="22"/>
      <c r="UA32" s="22"/>
      <c r="UB32" s="22"/>
      <c r="UC32" s="22"/>
      <c r="UD32" s="22"/>
      <c r="UE32" s="22"/>
      <c r="UF32" s="22"/>
      <c r="UG32" s="22"/>
      <c r="UH32" s="22"/>
      <c r="UI32" s="22"/>
      <c r="UJ32" s="22"/>
      <c r="UK32" s="22"/>
      <c r="UL32" s="22"/>
      <c r="UM32" s="22"/>
      <c r="UN32" s="22"/>
      <c r="UO32" s="22"/>
      <c r="UP32" s="22"/>
      <c r="UQ32" s="22"/>
      <c r="UR32" s="22"/>
      <c r="US32" s="22"/>
      <c r="UT32" s="22"/>
      <c r="UU32" s="22"/>
      <c r="UV32" s="22"/>
      <c r="UW32" s="22"/>
      <c r="UX32" s="22"/>
      <c r="UY32" s="22"/>
      <c r="UZ32" s="22"/>
      <c r="VA32" s="22"/>
      <c r="VB32" s="22"/>
      <c r="VC32" s="22"/>
      <c r="VD32" s="22"/>
      <c r="VE32" s="22"/>
      <c r="VF32" s="22"/>
      <c r="VG32" s="22"/>
      <c r="VH32" s="22"/>
      <c r="VI32" s="22"/>
      <c r="VJ32" s="22"/>
      <c r="VK32" s="22"/>
      <c r="VL32" s="22"/>
      <c r="VM32" s="22"/>
      <c r="VN32" s="22"/>
      <c r="VO32" s="22"/>
      <c r="VP32" s="22"/>
      <c r="VQ32" s="22"/>
      <c r="VR32" s="22"/>
      <c r="VS32" s="22"/>
      <c r="VT32" s="22"/>
      <c r="VU32" s="22"/>
      <c r="VV32" s="22"/>
      <c r="VW32" s="22"/>
      <c r="VX32" s="22"/>
      <c r="VY32" s="22"/>
      <c r="VZ32" s="22"/>
      <c r="WA32" s="22"/>
      <c r="WB32" s="22"/>
      <c r="WC32" s="22"/>
      <c r="WD32" s="22"/>
      <c r="WE32" s="22"/>
      <c r="WF32" s="22"/>
      <c r="WG32" s="22"/>
      <c r="WH32" s="22"/>
      <c r="WI32" s="22"/>
      <c r="WJ32" s="22"/>
      <c r="WK32" s="22"/>
      <c r="WL32" s="22"/>
      <c r="WM32" s="22"/>
      <c r="WN32" s="22"/>
      <c r="WO32" s="22"/>
      <c r="WP32" s="22"/>
      <c r="WQ32" s="22"/>
      <c r="WR32" s="22"/>
      <c r="WS32" s="22"/>
      <c r="WT32" s="22"/>
      <c r="WU32" s="22"/>
      <c r="WV32" s="22"/>
      <c r="WW32" s="22"/>
      <c r="WX32" s="22"/>
      <c r="WY32" s="22"/>
      <c r="WZ32" s="22"/>
      <c r="XA32" s="22"/>
      <c r="XB32" s="22"/>
      <c r="XC32" s="22"/>
      <c r="XD32" s="22"/>
      <c r="XE32" s="22"/>
      <c r="XF32" s="22"/>
      <c r="XG32" s="22"/>
      <c r="XH32" s="22"/>
      <c r="XI32" s="22"/>
      <c r="XJ32" s="22"/>
      <c r="XK32" s="22"/>
      <c r="XL32" s="22"/>
      <c r="XM32" s="22"/>
      <c r="XN32" s="22"/>
      <c r="XO32" s="22"/>
      <c r="XP32" s="22"/>
      <c r="XQ32" s="22"/>
      <c r="XR32" s="22"/>
      <c r="XS32" s="22"/>
      <c r="XT32" s="22"/>
      <c r="XU32" s="22"/>
      <c r="XV32" s="22"/>
      <c r="XW32" s="22"/>
      <c r="XX32" s="22"/>
      <c r="XY32" s="22"/>
      <c r="XZ32" s="22"/>
      <c r="YA32" s="22"/>
      <c r="YB32" s="22"/>
      <c r="YC32" s="22"/>
      <c r="YD32" s="22"/>
      <c r="YE32" s="22"/>
      <c r="YF32" s="22"/>
      <c r="YG32" s="22"/>
      <c r="YH32" s="22"/>
      <c r="YI32" s="22"/>
      <c r="YJ32" s="22"/>
      <c r="YK32" s="22"/>
      <c r="YL32" s="22"/>
      <c r="YM32" s="22"/>
      <c r="YN32" s="22"/>
      <c r="YO32" s="22"/>
      <c r="YP32" s="22"/>
      <c r="YQ32" s="22"/>
      <c r="YR32" s="22"/>
      <c r="YS32" s="22"/>
      <c r="YT32" s="22"/>
      <c r="YU32" s="22"/>
      <c r="YV32" s="22"/>
      <c r="YW32" s="22"/>
      <c r="YX32" s="22"/>
      <c r="YY32" s="22"/>
      <c r="YZ32" s="22"/>
      <c r="ZA32" s="22"/>
      <c r="ZB32" s="22"/>
      <c r="ZC32" s="22"/>
      <c r="ZD32" s="22"/>
      <c r="ZE32" s="22"/>
      <c r="ZF32" s="22"/>
      <c r="ZG32" s="22"/>
      <c r="ZH32" s="22"/>
      <c r="ZI32" s="22"/>
      <c r="ZJ32" s="22"/>
      <c r="ZK32" s="22"/>
      <c r="ZL32" s="22"/>
      <c r="ZM32" s="22"/>
      <c r="ZN32" s="22"/>
      <c r="ZO32" s="22"/>
      <c r="ZP32" s="22"/>
      <c r="ZQ32" s="22"/>
      <c r="ZR32" s="22"/>
      <c r="ZS32" s="22"/>
      <c r="ZT32" s="22"/>
      <c r="ZU32" s="22"/>
      <c r="ZV32" s="22"/>
      <c r="ZW32" s="22"/>
      <c r="ZX32" s="22"/>
      <c r="ZY32" s="22"/>
      <c r="ZZ32" s="22"/>
      <c r="AAA32" s="22"/>
      <c r="AAB32" s="22"/>
      <c r="AAC32" s="22"/>
      <c r="AAD32" s="22"/>
      <c r="AAE32" s="22"/>
      <c r="AAF32" s="22"/>
      <c r="AAG32" s="22"/>
      <c r="AAH32" s="22"/>
      <c r="AAI32" s="22"/>
      <c r="AAJ32" s="22"/>
      <c r="AAK32" s="22"/>
      <c r="AAL32" s="22"/>
      <c r="AAM32" s="22"/>
      <c r="AAN32" s="22"/>
      <c r="AAO32" s="22"/>
      <c r="AAP32" s="22"/>
      <c r="AAQ32" s="22"/>
      <c r="AAR32" s="22"/>
      <c r="AAS32" s="22"/>
      <c r="AAT32" s="22"/>
      <c r="AAU32" s="22"/>
      <c r="AAV32" s="22"/>
      <c r="AAW32" s="22"/>
      <c r="AAX32" s="22"/>
      <c r="AAY32" s="22"/>
      <c r="AAZ32" s="22"/>
      <c r="ABA32" s="22"/>
      <c r="ABB32" s="22"/>
      <c r="ABC32" s="22"/>
    </row>
    <row r="33" spans="1:731" s="56" customFormat="1" ht="15" customHeight="1" thickBot="1" x14ac:dyDescent="0.35">
      <c r="A33" s="53"/>
      <c r="B33" s="418"/>
      <c r="C33" s="334"/>
      <c r="D33" s="64"/>
      <c r="E33" s="37" t="s">
        <v>41</v>
      </c>
      <c r="F33" s="38">
        <f>SUM(F31:F32)</f>
        <v>687.7034261884362</v>
      </c>
      <c r="G33" s="54">
        <f>SUM(G31:G32)</f>
        <v>803.95965997332337</v>
      </c>
      <c r="H33" s="40">
        <f t="shared" si="24"/>
        <v>-116.25623378488717</v>
      </c>
      <c r="I33" s="41">
        <f t="shared" si="1"/>
        <v>-0.14460456111534842</v>
      </c>
      <c r="J33" s="54">
        <f>SUM(J31:J32)</f>
        <v>205300.92544465349</v>
      </c>
      <c r="K33" s="54">
        <f>SUM(K31:K32)</f>
        <v>240007.03781206146</v>
      </c>
      <c r="L33" s="40">
        <f t="shared" si="25"/>
        <v>-34706.112367407972</v>
      </c>
      <c r="M33" s="41">
        <f t="shared" si="21"/>
        <v>-0.14460456111534839</v>
      </c>
      <c r="N33" s="54">
        <f>SUM(N31:N32)</f>
        <v>97746.924869189039</v>
      </c>
      <c r="O33" s="54">
        <f>SUM(O31:O32)</f>
        <v>106916.4617756987</v>
      </c>
      <c r="P33" s="40">
        <f t="shared" si="26"/>
        <v>-9169.5369065096602</v>
      </c>
      <c r="Q33" s="41">
        <f t="shared" si="2"/>
        <v>-8.5763564882520515E-2</v>
      </c>
      <c r="R33" s="54">
        <f>SUM(R31:R32)</f>
        <v>394.80399999999997</v>
      </c>
      <c r="S33" s="54">
        <f>SUM(S31:S32)</f>
        <v>0</v>
      </c>
      <c r="T33" s="40">
        <f t="shared" si="27"/>
        <v>394.80399999999997</v>
      </c>
      <c r="U33" s="41" t="str">
        <f t="shared" si="30"/>
        <v/>
      </c>
      <c r="V33" s="54">
        <f>SUM(V31:V32)</f>
        <v>83065.574167329396</v>
      </c>
      <c r="W33" s="54">
        <f>SUM(W31:W32)</f>
        <v>86014.23558213783</v>
      </c>
      <c r="X33" s="40">
        <f t="shared" si="28"/>
        <v>-2948.6614148084336</v>
      </c>
      <c r="Y33" s="41">
        <f t="shared" si="4"/>
        <v>-3.4281086088275001E-2</v>
      </c>
      <c r="Z33" s="54">
        <f>SUM(Z31:Z32)</f>
        <v>15076.154701859639</v>
      </c>
      <c r="AA33" s="54">
        <f>SUM(AA31:AA32)</f>
        <v>20902.226193560869</v>
      </c>
      <c r="AB33" s="40">
        <f t="shared" si="29"/>
        <v>-5826.0714917012301</v>
      </c>
      <c r="AC33" s="42">
        <f t="shared" si="5"/>
        <v>-0.27872971222060583</v>
      </c>
      <c r="AD33" s="308">
        <f>SUM(AD31:AD32)</f>
        <v>0</v>
      </c>
      <c r="AE33" s="308">
        <f>SUM(AE31:AE32)</f>
        <v>0</v>
      </c>
      <c r="AF33" s="335">
        <f t="shared" si="6"/>
        <v>0</v>
      </c>
      <c r="AG33" s="336" t="str">
        <f t="shared" si="7"/>
        <v/>
      </c>
      <c r="AH33" s="309">
        <f>SUM(AH31:AH32)</f>
        <v>0</v>
      </c>
      <c r="AI33" s="310">
        <f>SUM(AI31:AI32)</f>
        <v>0</v>
      </c>
      <c r="AJ33" s="311">
        <f t="shared" si="8"/>
        <v>0</v>
      </c>
      <c r="AK33" s="309" t="str">
        <f>IFERROR(IF(AI33&lt;0,-(AH33-AI33)/AI33,(AH33-AI33)/AI33),"")</f>
        <v/>
      </c>
      <c r="AL33" s="309">
        <f>SUM(AL31:AL32)</f>
        <v>15076.154701859639</v>
      </c>
      <c r="AM33" s="309">
        <f>SUM(AM31:AM32)</f>
        <v>20902.226193560869</v>
      </c>
      <c r="AN33" s="311">
        <f t="shared" si="9"/>
        <v>-5826.0714917012301</v>
      </c>
      <c r="AO33" s="312">
        <f t="shared" si="10"/>
        <v>-0.27872971222060583</v>
      </c>
      <c r="AP33" s="317"/>
      <c r="AQ33" s="55"/>
      <c r="AR33" s="289">
        <f t="shared" si="11"/>
        <v>0</v>
      </c>
      <c r="AS33" s="289">
        <f t="shared" si="12"/>
        <v>0</v>
      </c>
      <c r="AT33" s="289">
        <f t="shared" si="13"/>
        <v>0</v>
      </c>
      <c r="AU33" s="289">
        <f t="shared" si="14"/>
        <v>0</v>
      </c>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c r="HA33" s="55"/>
      <c r="HB33" s="55"/>
      <c r="HC33" s="55"/>
      <c r="HD33" s="55"/>
      <c r="HE33" s="55"/>
      <c r="HF33" s="55"/>
      <c r="HG33" s="55"/>
      <c r="HH33" s="55"/>
      <c r="HI33" s="55"/>
      <c r="HJ33" s="55"/>
      <c r="HK33" s="55"/>
      <c r="HL33" s="55"/>
      <c r="HM33" s="55"/>
      <c r="HN33" s="55"/>
      <c r="HO33" s="55"/>
      <c r="HP33" s="55"/>
      <c r="HQ33" s="55"/>
      <c r="HR33" s="55"/>
      <c r="HS33" s="55"/>
      <c r="HT33" s="55"/>
      <c r="HU33" s="55"/>
      <c r="HV33" s="55"/>
      <c r="HW33" s="55"/>
      <c r="HX33" s="55"/>
      <c r="HY33" s="55"/>
      <c r="HZ33" s="55"/>
      <c r="IA33" s="55"/>
      <c r="IB33" s="55"/>
      <c r="IC33" s="55"/>
      <c r="ID33" s="55"/>
      <c r="IE33" s="55"/>
      <c r="IF33" s="55"/>
      <c r="IG33" s="55"/>
      <c r="IH33" s="55"/>
      <c r="II33" s="55"/>
      <c r="IJ33" s="55"/>
      <c r="IK33" s="55"/>
      <c r="IL33" s="55"/>
      <c r="IM33" s="55"/>
      <c r="IN33" s="55"/>
      <c r="IO33" s="55"/>
      <c r="IP33" s="55"/>
      <c r="IQ33" s="55"/>
      <c r="IR33" s="55"/>
      <c r="IS33" s="55"/>
      <c r="IT33" s="55"/>
      <c r="IU33" s="55"/>
      <c r="IV33" s="55"/>
      <c r="IW33" s="55"/>
      <c r="IX33" s="55"/>
      <c r="IY33" s="55"/>
      <c r="IZ33" s="55"/>
      <c r="JA33" s="55"/>
      <c r="JB33" s="55"/>
      <c r="JC33" s="55"/>
      <c r="JD33" s="55"/>
      <c r="JE33" s="55"/>
      <c r="JF33" s="61"/>
      <c r="JG33" s="61"/>
      <c r="JH33" s="61"/>
      <c r="JI33" s="61"/>
      <c r="JJ33" s="55"/>
      <c r="JK33" s="55"/>
      <c r="JL33" s="55"/>
      <c r="JM33" s="55"/>
      <c r="JN33" s="55"/>
      <c r="JO33" s="55"/>
      <c r="JP33" s="55"/>
      <c r="JQ33" s="55"/>
      <c r="JR33" s="55"/>
      <c r="JS33" s="55"/>
      <c r="JT33" s="55"/>
      <c r="JU33" s="55"/>
      <c r="JV33" s="55"/>
      <c r="JW33" s="55"/>
      <c r="JX33" s="55"/>
      <c r="JY33" s="55"/>
      <c r="JZ33" s="55"/>
      <c r="KA33" s="55"/>
      <c r="KB33" s="55"/>
      <c r="KC33" s="55"/>
      <c r="KD33" s="55"/>
      <c r="KE33" s="55"/>
      <c r="KF33" s="55"/>
      <c r="KG33" s="55"/>
      <c r="KH33" s="55"/>
      <c r="KI33" s="55"/>
      <c r="KJ33" s="55"/>
      <c r="KK33" s="55"/>
      <c r="KL33" s="55"/>
      <c r="KM33" s="55"/>
      <c r="KN33" s="55"/>
      <c r="KO33" s="55"/>
      <c r="KP33" s="55"/>
      <c r="KQ33" s="55"/>
      <c r="KR33" s="55"/>
      <c r="KS33" s="55"/>
      <c r="KT33" s="55"/>
      <c r="KU33" s="55"/>
      <c r="KV33" s="55"/>
      <c r="KW33" s="55"/>
      <c r="KX33" s="55"/>
      <c r="KY33" s="55"/>
      <c r="KZ33" s="55"/>
      <c r="LA33" s="55"/>
      <c r="LB33" s="55"/>
      <c r="LC33" s="55"/>
      <c r="LD33" s="55"/>
      <c r="LE33" s="55"/>
      <c r="LF33" s="55"/>
      <c r="LG33" s="55"/>
      <c r="LH33" s="55"/>
      <c r="LI33" s="55"/>
      <c r="LJ33" s="55"/>
      <c r="LK33" s="55"/>
      <c r="LL33" s="55"/>
      <c r="LM33" s="55"/>
      <c r="LN33" s="55"/>
      <c r="LO33" s="55"/>
      <c r="LP33" s="55"/>
      <c r="LQ33" s="55"/>
      <c r="LR33" s="55"/>
      <c r="LS33" s="55"/>
      <c r="LT33" s="55"/>
      <c r="LU33" s="55"/>
      <c r="LV33" s="55"/>
      <c r="LW33" s="55"/>
      <c r="LX33" s="55"/>
      <c r="LY33" s="55"/>
      <c r="LZ33" s="55"/>
      <c r="MA33" s="55"/>
      <c r="MB33" s="55"/>
      <c r="MC33" s="55"/>
      <c r="MD33" s="55"/>
      <c r="ME33" s="55"/>
      <c r="MF33" s="55"/>
      <c r="MG33" s="55"/>
      <c r="MH33" s="55"/>
      <c r="MI33" s="55"/>
      <c r="MJ33" s="55"/>
      <c r="MK33" s="55"/>
      <c r="ML33" s="55"/>
      <c r="MM33" s="55"/>
      <c r="MN33" s="55"/>
      <c r="MO33" s="55"/>
      <c r="MP33" s="55"/>
      <c r="MQ33" s="55"/>
      <c r="MR33" s="55"/>
      <c r="MS33" s="55"/>
      <c r="MT33" s="55"/>
      <c r="MU33" s="55"/>
      <c r="MV33" s="55"/>
      <c r="MW33" s="55"/>
      <c r="MX33" s="55"/>
      <c r="MY33" s="55"/>
      <c r="MZ33" s="55"/>
      <c r="NA33" s="55"/>
      <c r="NB33" s="55"/>
      <c r="NC33" s="55"/>
      <c r="ND33" s="55"/>
      <c r="NE33" s="55"/>
      <c r="NF33" s="55"/>
      <c r="NG33" s="55"/>
      <c r="NH33" s="55"/>
      <c r="NI33" s="55"/>
      <c r="NJ33" s="55"/>
      <c r="NK33" s="55"/>
      <c r="NL33" s="55"/>
      <c r="NM33" s="55"/>
      <c r="NN33" s="55"/>
      <c r="NO33" s="55"/>
      <c r="NP33" s="55"/>
      <c r="NQ33" s="55"/>
      <c r="NR33" s="55"/>
      <c r="NS33" s="55"/>
      <c r="NT33" s="55"/>
      <c r="NU33" s="55"/>
      <c r="NV33" s="55"/>
      <c r="NW33" s="55"/>
      <c r="NX33" s="55"/>
      <c r="NY33" s="55"/>
      <c r="NZ33" s="55"/>
      <c r="OA33" s="55"/>
      <c r="OB33" s="55"/>
      <c r="OC33" s="55"/>
      <c r="OD33" s="55"/>
      <c r="OE33" s="55"/>
      <c r="OF33" s="55"/>
      <c r="OG33" s="55"/>
      <c r="OH33" s="55"/>
      <c r="OI33" s="55"/>
      <c r="OJ33" s="55"/>
      <c r="OK33" s="55"/>
      <c r="OL33" s="55"/>
      <c r="OM33" s="55"/>
      <c r="ON33" s="55"/>
      <c r="OO33" s="55"/>
      <c r="OP33" s="55"/>
      <c r="OQ33" s="55"/>
      <c r="OR33" s="55"/>
      <c r="OS33" s="55"/>
      <c r="OT33" s="55"/>
      <c r="OU33" s="55"/>
      <c r="OV33" s="55"/>
      <c r="OW33" s="55"/>
      <c r="OX33" s="55"/>
      <c r="OY33" s="55"/>
      <c r="OZ33" s="55"/>
      <c r="PA33" s="55"/>
      <c r="PB33" s="55"/>
      <c r="PC33" s="55"/>
      <c r="PD33" s="55"/>
      <c r="PE33" s="55"/>
      <c r="PF33" s="55"/>
      <c r="PG33" s="55"/>
      <c r="PH33" s="55"/>
      <c r="PI33" s="55"/>
      <c r="PJ33" s="55"/>
      <c r="PK33" s="55"/>
      <c r="PL33" s="55"/>
      <c r="PM33" s="55"/>
      <c r="PN33" s="55"/>
      <c r="PO33" s="55"/>
      <c r="PP33" s="55"/>
      <c r="PQ33" s="55"/>
      <c r="PR33" s="55"/>
      <c r="PS33" s="55"/>
      <c r="PT33" s="55"/>
      <c r="PU33" s="55"/>
      <c r="PV33" s="55"/>
      <c r="PW33" s="55"/>
      <c r="PX33" s="55"/>
      <c r="PY33" s="55"/>
      <c r="PZ33" s="55"/>
      <c r="QA33" s="55"/>
      <c r="QB33" s="55"/>
      <c r="QC33" s="55"/>
      <c r="QD33" s="55"/>
      <c r="QE33" s="55"/>
      <c r="QF33" s="55"/>
      <c r="QG33" s="55"/>
      <c r="QH33" s="55"/>
      <c r="QI33" s="55"/>
      <c r="QJ33" s="55"/>
      <c r="QK33" s="55"/>
      <c r="QL33" s="55"/>
      <c r="QM33" s="55"/>
      <c r="QN33" s="55"/>
      <c r="QO33" s="55"/>
      <c r="QP33" s="55"/>
      <c r="QQ33" s="55"/>
      <c r="QR33" s="55"/>
      <c r="QS33" s="55"/>
      <c r="QT33" s="55"/>
      <c r="QU33" s="55"/>
      <c r="QV33" s="55"/>
      <c r="QW33" s="55"/>
      <c r="QX33" s="55"/>
      <c r="QY33" s="55"/>
      <c r="QZ33" s="55"/>
      <c r="RA33" s="55"/>
      <c r="RB33" s="55"/>
      <c r="RC33" s="55"/>
      <c r="RD33" s="55"/>
      <c r="RE33" s="55"/>
      <c r="RF33" s="55"/>
      <c r="RG33" s="55"/>
      <c r="RH33" s="55"/>
      <c r="RI33" s="55"/>
      <c r="RJ33" s="55"/>
      <c r="RK33" s="55"/>
      <c r="RL33" s="55"/>
      <c r="RM33" s="55"/>
      <c r="RN33" s="55"/>
      <c r="RO33" s="55"/>
      <c r="RP33" s="55"/>
      <c r="RQ33" s="55"/>
      <c r="RR33" s="55"/>
      <c r="RS33" s="55"/>
      <c r="RT33" s="55"/>
      <c r="RU33" s="55"/>
      <c r="RV33" s="55"/>
      <c r="RW33" s="55"/>
      <c r="RX33" s="55"/>
      <c r="RY33" s="55"/>
      <c r="RZ33" s="55"/>
      <c r="SA33" s="55"/>
      <c r="SB33" s="55"/>
      <c r="SC33" s="55"/>
      <c r="SD33" s="55"/>
      <c r="SE33" s="55"/>
      <c r="SF33" s="55"/>
      <c r="SG33" s="55"/>
      <c r="SH33" s="55"/>
      <c r="SI33" s="55"/>
      <c r="SJ33" s="55"/>
      <c r="SK33" s="55"/>
      <c r="SL33" s="55"/>
      <c r="SM33" s="55"/>
      <c r="SN33" s="55"/>
      <c r="SO33" s="55"/>
      <c r="SP33" s="55"/>
      <c r="SQ33" s="55"/>
      <c r="SR33" s="55"/>
      <c r="SS33" s="55"/>
      <c r="ST33" s="55"/>
      <c r="SU33" s="55"/>
      <c r="SV33" s="55"/>
      <c r="SW33" s="55"/>
      <c r="SX33" s="55"/>
      <c r="SY33" s="55"/>
      <c r="SZ33" s="55"/>
      <c r="TA33" s="55"/>
      <c r="TB33" s="55"/>
      <c r="TC33" s="55"/>
      <c r="TD33" s="55"/>
      <c r="TE33" s="55"/>
      <c r="TF33" s="55"/>
      <c r="TG33" s="55"/>
      <c r="TH33" s="55"/>
      <c r="TI33" s="55"/>
      <c r="TJ33" s="55"/>
      <c r="TK33" s="55"/>
      <c r="TL33" s="55"/>
      <c r="TM33" s="55"/>
      <c r="TN33" s="55"/>
      <c r="TO33" s="55"/>
      <c r="TP33" s="55"/>
      <c r="TQ33" s="55"/>
      <c r="TR33" s="55"/>
      <c r="TS33" s="55"/>
      <c r="TT33" s="55"/>
      <c r="TU33" s="55"/>
      <c r="TV33" s="55"/>
      <c r="TW33" s="55"/>
      <c r="TX33" s="55"/>
      <c r="TY33" s="55"/>
      <c r="TZ33" s="55"/>
      <c r="UA33" s="55"/>
      <c r="UB33" s="55"/>
      <c r="UC33" s="55"/>
      <c r="UD33" s="55"/>
      <c r="UE33" s="55"/>
      <c r="UF33" s="55"/>
      <c r="UG33" s="55"/>
      <c r="UH33" s="55"/>
      <c r="UI33" s="55"/>
      <c r="UJ33" s="55"/>
      <c r="UK33" s="55"/>
      <c r="UL33" s="55"/>
      <c r="UM33" s="55"/>
      <c r="UN33" s="55"/>
      <c r="UO33" s="55"/>
      <c r="UP33" s="55"/>
      <c r="UQ33" s="55"/>
      <c r="UR33" s="55"/>
      <c r="US33" s="55"/>
      <c r="UT33" s="55"/>
      <c r="UU33" s="55"/>
      <c r="UV33" s="55"/>
      <c r="UW33" s="55"/>
      <c r="UX33" s="55"/>
      <c r="UY33" s="55"/>
      <c r="UZ33" s="55"/>
      <c r="VA33" s="55"/>
      <c r="VB33" s="55"/>
      <c r="VC33" s="55"/>
      <c r="VD33" s="55"/>
      <c r="VE33" s="55"/>
      <c r="VF33" s="55"/>
      <c r="VG33" s="55"/>
      <c r="VH33" s="55"/>
      <c r="VI33" s="55"/>
      <c r="VJ33" s="55"/>
      <c r="VK33" s="55"/>
      <c r="VL33" s="55"/>
      <c r="VM33" s="55"/>
      <c r="VN33" s="55"/>
      <c r="VO33" s="55"/>
      <c r="VP33" s="55"/>
      <c r="VQ33" s="55"/>
      <c r="VR33" s="55"/>
      <c r="VS33" s="55"/>
      <c r="VT33" s="55"/>
      <c r="VU33" s="55"/>
      <c r="VV33" s="55"/>
      <c r="VW33" s="55"/>
      <c r="VX33" s="55"/>
      <c r="VY33" s="55"/>
      <c r="VZ33" s="55"/>
      <c r="WA33" s="55"/>
      <c r="WB33" s="55"/>
      <c r="WC33" s="55"/>
      <c r="WD33" s="55"/>
      <c r="WE33" s="55"/>
      <c r="WF33" s="55"/>
      <c r="WG33" s="55"/>
      <c r="WH33" s="55"/>
      <c r="WI33" s="55"/>
      <c r="WJ33" s="55"/>
      <c r="WK33" s="55"/>
      <c r="WL33" s="55"/>
      <c r="WM33" s="55"/>
      <c r="WN33" s="55"/>
      <c r="WO33" s="55"/>
      <c r="WP33" s="55"/>
      <c r="WQ33" s="55"/>
      <c r="WR33" s="55"/>
      <c r="WS33" s="55"/>
      <c r="WT33" s="55"/>
      <c r="WU33" s="55"/>
      <c r="WV33" s="55"/>
      <c r="WW33" s="55"/>
      <c r="WX33" s="55"/>
      <c r="WY33" s="55"/>
      <c r="WZ33" s="55"/>
      <c r="XA33" s="55"/>
      <c r="XB33" s="55"/>
      <c r="XC33" s="55"/>
      <c r="XD33" s="55"/>
      <c r="XE33" s="55"/>
      <c r="XF33" s="55"/>
      <c r="XG33" s="55"/>
      <c r="XH33" s="55"/>
      <c r="XI33" s="55"/>
      <c r="XJ33" s="55"/>
      <c r="XK33" s="55"/>
      <c r="XL33" s="55"/>
      <c r="XM33" s="55"/>
      <c r="XN33" s="55"/>
      <c r="XO33" s="55"/>
      <c r="XP33" s="55"/>
      <c r="XQ33" s="55"/>
      <c r="XR33" s="55"/>
      <c r="XS33" s="55"/>
      <c r="XT33" s="55"/>
      <c r="XU33" s="55"/>
      <c r="XV33" s="55"/>
      <c r="XW33" s="55"/>
      <c r="XX33" s="55"/>
      <c r="XY33" s="55"/>
      <c r="XZ33" s="55"/>
      <c r="YA33" s="55"/>
      <c r="YB33" s="55"/>
      <c r="YC33" s="55"/>
      <c r="YD33" s="55"/>
      <c r="YE33" s="55"/>
      <c r="YF33" s="55"/>
      <c r="YG33" s="55"/>
      <c r="YH33" s="55"/>
      <c r="YI33" s="55"/>
      <c r="YJ33" s="55"/>
      <c r="YK33" s="55"/>
      <c r="YL33" s="55"/>
      <c r="YM33" s="55"/>
      <c r="YN33" s="55"/>
      <c r="YO33" s="55"/>
      <c r="YP33" s="55"/>
      <c r="YQ33" s="55"/>
      <c r="YR33" s="55"/>
      <c r="YS33" s="55"/>
      <c r="YT33" s="55"/>
      <c r="YU33" s="55"/>
      <c r="YV33" s="55"/>
      <c r="YW33" s="55"/>
      <c r="YX33" s="55"/>
      <c r="YY33" s="55"/>
      <c r="YZ33" s="55"/>
      <c r="ZA33" s="55"/>
      <c r="ZB33" s="55"/>
      <c r="ZC33" s="55"/>
      <c r="ZD33" s="55"/>
      <c r="ZE33" s="55"/>
      <c r="ZF33" s="55"/>
      <c r="ZG33" s="55"/>
      <c r="ZH33" s="55"/>
      <c r="ZI33" s="55"/>
      <c r="ZJ33" s="55"/>
      <c r="ZK33" s="55"/>
      <c r="ZL33" s="55"/>
      <c r="ZM33" s="55"/>
      <c r="ZN33" s="55"/>
      <c r="ZO33" s="55"/>
      <c r="ZP33" s="55"/>
      <c r="ZQ33" s="55"/>
      <c r="ZR33" s="55"/>
      <c r="ZS33" s="55"/>
      <c r="ZT33" s="55"/>
      <c r="ZU33" s="55"/>
      <c r="ZV33" s="55"/>
      <c r="ZW33" s="55"/>
      <c r="ZX33" s="55"/>
      <c r="ZY33" s="55"/>
      <c r="ZZ33" s="55"/>
      <c r="AAA33" s="55"/>
      <c r="AAB33" s="55"/>
      <c r="AAC33" s="55"/>
      <c r="AAD33" s="55"/>
      <c r="AAE33" s="55"/>
      <c r="AAF33" s="55"/>
      <c r="AAG33" s="55"/>
      <c r="AAH33" s="55"/>
      <c r="AAI33" s="55"/>
      <c r="AAJ33" s="55"/>
      <c r="AAK33" s="55"/>
      <c r="AAL33" s="55"/>
      <c r="AAM33" s="55"/>
      <c r="AAN33" s="55"/>
      <c r="AAO33" s="55"/>
      <c r="AAP33" s="55"/>
      <c r="AAQ33" s="55"/>
      <c r="AAR33" s="55"/>
      <c r="AAS33" s="55"/>
      <c r="AAT33" s="55"/>
      <c r="AAU33" s="55"/>
      <c r="AAV33" s="55"/>
      <c r="AAW33" s="55"/>
      <c r="AAX33" s="55"/>
      <c r="AAY33" s="55"/>
      <c r="AAZ33" s="55"/>
      <c r="ABA33" s="55"/>
      <c r="ABB33" s="55"/>
      <c r="ABC33" s="55"/>
    </row>
    <row r="34" spans="1:731" ht="15" customHeight="1" x14ac:dyDescent="0.3">
      <c r="A34" s="409" t="s">
        <v>42</v>
      </c>
      <c r="B34" s="426" t="s">
        <v>43</v>
      </c>
      <c r="C34" s="65"/>
      <c r="D34" s="45" t="s">
        <v>11</v>
      </c>
      <c r="E34" s="46" t="s">
        <v>44</v>
      </c>
      <c r="F34" s="11">
        <f>J34/$F$2</f>
        <v>6726.7518660493706</v>
      </c>
      <c r="G34" s="16">
        <f>K34/$F$2</f>
        <v>9272.4091323955236</v>
      </c>
      <c r="H34" s="13">
        <f t="shared" si="24"/>
        <v>-2545.6572663461529</v>
      </c>
      <c r="I34" s="49">
        <f t="shared" si="1"/>
        <v>-0.27454108527763843</v>
      </c>
      <c r="J34" s="151">
        <f>2008145271.27/1000</f>
        <v>2008145.2712699999</v>
      </c>
      <c r="K34" s="150">
        <f>2768103376.38284/1000</f>
        <v>2768103.3763828403</v>
      </c>
      <c r="L34" s="13">
        <f t="shared" si="25"/>
        <v>-759958.10511284042</v>
      </c>
      <c r="M34" s="49">
        <f t="shared" si="21"/>
        <v>-0.27454108527763849</v>
      </c>
      <c r="N34" s="15">
        <f>-28186694.02/1000</f>
        <v>-28186.694019999999</v>
      </c>
      <c r="O34" s="16">
        <f>141933778.642838/1000</f>
        <v>141933.77864283801</v>
      </c>
      <c r="P34" s="13">
        <f t="shared" si="26"/>
        <v>-170120.472662838</v>
      </c>
      <c r="Q34" s="49">
        <f t="shared" si="2"/>
        <v>-1.1985904573916049</v>
      </c>
      <c r="R34" s="15"/>
      <c r="S34" s="16"/>
      <c r="T34" s="13">
        <f t="shared" si="27"/>
        <v>0</v>
      </c>
      <c r="U34" s="49" t="str">
        <f t="shared" si="30"/>
        <v/>
      </c>
      <c r="V34" s="15">
        <f>90404152.25125/1000</f>
        <v>90404.152251249994</v>
      </c>
      <c r="W34" s="16">
        <f>124009177.82/1000</f>
        <v>124009.17782</v>
      </c>
      <c r="X34" s="13">
        <f t="shared" si="28"/>
        <v>-33605.025568750003</v>
      </c>
      <c r="Y34" s="49">
        <f t="shared" si="4"/>
        <v>-0.27098821361051101</v>
      </c>
      <c r="Z34" s="83">
        <f>-118590846.27125/1000</f>
        <v>-118590.84627124999</v>
      </c>
      <c r="AA34" s="16">
        <f>17924600.8228375/1000</f>
        <v>17924.600822837503</v>
      </c>
      <c r="AB34" s="13">
        <f t="shared" si="29"/>
        <v>-136515.44709408749</v>
      </c>
      <c r="AC34" s="50">
        <f t="shared" si="5"/>
        <v>-7.6160941291453987</v>
      </c>
      <c r="AD34" s="292">
        <f>88334726.29875/1000</f>
        <v>88334.72629875</v>
      </c>
      <c r="AE34" s="293">
        <f>6317505.45193049/1000</f>
        <v>6317.5054519304904</v>
      </c>
      <c r="AF34" s="108">
        <f t="shared" si="6"/>
        <v>82017.220846819517</v>
      </c>
      <c r="AG34" s="188">
        <f t="shared" si="7"/>
        <v>12.982532658006154</v>
      </c>
      <c r="AH34" s="194">
        <v>0</v>
      </c>
      <c r="AI34" s="195">
        <v>0</v>
      </c>
      <c r="AJ34" s="108">
        <f t="shared" si="8"/>
        <v>0</v>
      </c>
      <c r="AK34" s="50">
        <v>0</v>
      </c>
      <c r="AL34" s="214">
        <f>-206925572.57/1000</f>
        <v>-206925.57256999999</v>
      </c>
      <c r="AM34" s="294">
        <f>11607095.370907/1000</f>
        <v>11607.095370907</v>
      </c>
      <c r="AN34" s="13">
        <f t="shared" si="9"/>
        <v>-218532.66794090698</v>
      </c>
      <c r="AO34" s="50">
        <f t="shared" si="10"/>
        <v>-18.827506878995379</v>
      </c>
      <c r="AP34" s="427"/>
      <c r="AQ34" s="22"/>
      <c r="AR34" s="1">
        <f t="shared" si="11"/>
        <v>0</v>
      </c>
      <c r="AS34" s="1">
        <f t="shared" si="12"/>
        <v>5.056790541857481E-10</v>
      </c>
      <c r="AT34" s="1">
        <f t="shared" si="13"/>
        <v>0</v>
      </c>
      <c r="AU34" s="1">
        <f t="shared" si="14"/>
        <v>0</v>
      </c>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c r="IH34" s="22"/>
      <c r="II34" s="22"/>
      <c r="IJ34" s="22"/>
      <c r="IK34" s="22"/>
      <c r="IL34" s="22"/>
      <c r="IM34" s="22"/>
      <c r="IN34" s="22"/>
      <c r="IO34" s="22"/>
      <c r="IP34" s="22"/>
      <c r="IQ34" s="22"/>
      <c r="IR34" s="22"/>
      <c r="IS34" s="22"/>
      <c r="IT34" s="22"/>
      <c r="IU34" s="22"/>
      <c r="IV34" s="22"/>
      <c r="IW34" s="22"/>
      <c r="IX34" s="22"/>
      <c r="IY34" s="22"/>
      <c r="IZ34" s="22"/>
      <c r="JA34" s="22"/>
      <c r="JB34" s="22"/>
      <c r="JC34" s="22"/>
      <c r="JD34" s="22"/>
      <c r="JE34" s="22"/>
      <c r="JJ34" s="22"/>
      <c r="JK34" s="22"/>
      <c r="JL34" s="22"/>
      <c r="JM34" s="22"/>
      <c r="JN34" s="22"/>
      <c r="JO34" s="22"/>
      <c r="JP34" s="22"/>
      <c r="JQ34" s="22"/>
      <c r="JR34" s="22"/>
      <c r="JS34" s="22"/>
      <c r="JT34" s="22"/>
      <c r="JU34" s="22"/>
      <c r="JV34" s="22"/>
      <c r="JW34" s="22"/>
      <c r="JX34" s="22"/>
      <c r="JY34" s="22"/>
      <c r="JZ34" s="22"/>
      <c r="KA34" s="22"/>
      <c r="KB34" s="22"/>
      <c r="KC34" s="22"/>
      <c r="KD34" s="22"/>
      <c r="KE34" s="22"/>
      <c r="KF34" s="22"/>
      <c r="KG34" s="22"/>
      <c r="KH34" s="22"/>
      <c r="KI34" s="22"/>
      <c r="KJ34" s="22"/>
      <c r="KK34" s="22"/>
      <c r="KL34" s="22"/>
      <c r="KM34" s="22"/>
      <c r="KN34" s="22"/>
      <c r="KO34" s="22"/>
      <c r="KP34" s="22"/>
      <c r="KQ34" s="22"/>
      <c r="KR34" s="22"/>
      <c r="KS34" s="22"/>
      <c r="KT34" s="22"/>
      <c r="KU34" s="22"/>
      <c r="KV34" s="22"/>
      <c r="KW34" s="22"/>
      <c r="KX34" s="22"/>
      <c r="KY34" s="22"/>
      <c r="KZ34" s="22"/>
      <c r="LA34" s="22"/>
      <c r="LB34" s="22"/>
      <c r="LC34" s="22"/>
      <c r="LD34" s="22"/>
      <c r="LE34" s="22"/>
      <c r="LF34" s="22"/>
      <c r="LG34" s="22"/>
      <c r="LH34" s="22"/>
      <c r="LI34" s="22"/>
      <c r="LJ34" s="22"/>
      <c r="LK34" s="22"/>
      <c r="LL34" s="22"/>
      <c r="LM34" s="22"/>
      <c r="LN34" s="22"/>
      <c r="LO34" s="22"/>
      <c r="LP34" s="22"/>
      <c r="LQ34" s="22"/>
      <c r="LR34" s="22"/>
      <c r="LS34" s="22"/>
      <c r="LT34" s="22"/>
      <c r="LU34" s="22"/>
      <c r="LV34" s="22"/>
      <c r="LW34" s="22"/>
      <c r="LX34" s="22"/>
      <c r="LY34" s="22"/>
      <c r="LZ34" s="22"/>
      <c r="MA34" s="22"/>
      <c r="MB34" s="22"/>
      <c r="MC34" s="22"/>
      <c r="MD34" s="22"/>
      <c r="ME34" s="22"/>
      <c r="MF34" s="22"/>
      <c r="MG34" s="22"/>
      <c r="MH34" s="22"/>
      <c r="MI34" s="22"/>
      <c r="MJ34" s="22"/>
      <c r="MK34" s="22"/>
      <c r="ML34" s="22"/>
      <c r="MM34" s="22"/>
      <c r="MN34" s="22"/>
      <c r="MO34" s="22"/>
      <c r="MP34" s="22"/>
      <c r="MQ34" s="22"/>
      <c r="MR34" s="22"/>
      <c r="MS34" s="22"/>
      <c r="MT34" s="22"/>
      <c r="MU34" s="22"/>
      <c r="MV34" s="22"/>
      <c r="MW34" s="22"/>
      <c r="MX34" s="22"/>
      <c r="MY34" s="22"/>
      <c r="MZ34" s="22"/>
      <c r="NA34" s="22"/>
      <c r="NB34" s="22"/>
      <c r="NC34" s="22"/>
      <c r="ND34" s="22"/>
      <c r="NE34" s="22"/>
      <c r="NF34" s="22"/>
      <c r="NG34" s="22"/>
      <c r="NH34" s="22"/>
      <c r="NI34" s="22"/>
      <c r="NJ34" s="22"/>
      <c r="NK34" s="22"/>
      <c r="NL34" s="22"/>
      <c r="NM34" s="22"/>
      <c r="NN34" s="22"/>
      <c r="NO34" s="22"/>
      <c r="NP34" s="22"/>
      <c r="NQ34" s="22"/>
      <c r="NR34" s="22"/>
      <c r="NS34" s="22"/>
      <c r="NT34" s="22"/>
      <c r="NU34" s="22"/>
      <c r="NV34" s="22"/>
      <c r="NW34" s="22"/>
      <c r="NX34" s="22"/>
      <c r="NY34" s="22"/>
      <c r="NZ34" s="22"/>
      <c r="OA34" s="22"/>
      <c r="OB34" s="22"/>
      <c r="OC34" s="22"/>
      <c r="OD34" s="22"/>
      <c r="OE34" s="22"/>
      <c r="OF34" s="22"/>
      <c r="OG34" s="22"/>
      <c r="OH34" s="22"/>
      <c r="OI34" s="22"/>
      <c r="OJ34" s="22"/>
      <c r="OK34" s="22"/>
      <c r="OL34" s="22"/>
      <c r="OM34" s="22"/>
      <c r="ON34" s="22"/>
      <c r="OO34" s="22"/>
      <c r="OP34" s="22"/>
      <c r="OQ34" s="22"/>
      <c r="OR34" s="22"/>
      <c r="OS34" s="22"/>
      <c r="OT34" s="22"/>
      <c r="OU34" s="22"/>
      <c r="OV34" s="22"/>
      <c r="OW34" s="22"/>
      <c r="OX34" s="22"/>
      <c r="OY34" s="22"/>
      <c r="OZ34" s="22"/>
      <c r="PA34" s="22"/>
      <c r="PB34" s="22"/>
      <c r="PC34" s="22"/>
      <c r="PD34" s="22"/>
      <c r="PE34" s="22"/>
      <c r="PF34" s="22"/>
      <c r="PG34" s="22"/>
      <c r="PH34" s="22"/>
      <c r="PI34" s="22"/>
      <c r="PJ34" s="22"/>
      <c r="PK34" s="22"/>
      <c r="PL34" s="22"/>
      <c r="PM34" s="22"/>
      <c r="PN34" s="22"/>
      <c r="PO34" s="22"/>
      <c r="PP34" s="22"/>
      <c r="PQ34" s="22"/>
      <c r="PR34" s="22"/>
      <c r="PS34" s="22"/>
      <c r="PT34" s="22"/>
      <c r="PU34" s="22"/>
      <c r="PV34" s="22"/>
      <c r="PW34" s="22"/>
      <c r="PX34" s="22"/>
      <c r="PY34" s="22"/>
      <c r="PZ34" s="22"/>
      <c r="QA34" s="22"/>
      <c r="QB34" s="22"/>
      <c r="QC34" s="22"/>
      <c r="QD34" s="22"/>
      <c r="QE34" s="22"/>
      <c r="QF34" s="22"/>
      <c r="QG34" s="22"/>
      <c r="QH34" s="22"/>
      <c r="QI34" s="22"/>
      <c r="QJ34" s="22"/>
      <c r="QK34" s="22"/>
      <c r="QL34" s="22"/>
      <c r="QM34" s="22"/>
      <c r="QN34" s="22"/>
      <c r="QO34" s="22"/>
      <c r="QP34" s="22"/>
      <c r="QQ34" s="22"/>
      <c r="QR34" s="22"/>
      <c r="QS34" s="22"/>
      <c r="QT34" s="22"/>
      <c r="QU34" s="22"/>
      <c r="QV34" s="22"/>
      <c r="QW34" s="22"/>
      <c r="QX34" s="22"/>
      <c r="QY34" s="22"/>
      <c r="QZ34" s="22"/>
      <c r="RA34" s="22"/>
      <c r="RB34" s="22"/>
      <c r="RC34" s="22"/>
      <c r="RD34" s="22"/>
      <c r="RE34" s="22"/>
      <c r="RF34" s="22"/>
      <c r="RG34" s="22"/>
      <c r="RH34" s="22"/>
      <c r="RI34" s="22"/>
      <c r="RJ34" s="22"/>
      <c r="RK34" s="22"/>
      <c r="RL34" s="22"/>
      <c r="RM34" s="22"/>
      <c r="RN34" s="22"/>
      <c r="RO34" s="22"/>
      <c r="RP34" s="22"/>
      <c r="RQ34" s="22"/>
      <c r="RR34" s="22"/>
      <c r="RS34" s="22"/>
      <c r="RT34" s="22"/>
      <c r="RU34" s="22"/>
      <c r="RV34" s="22"/>
      <c r="RW34" s="22"/>
      <c r="RX34" s="22"/>
      <c r="RY34" s="22"/>
      <c r="RZ34" s="22"/>
      <c r="SA34" s="22"/>
      <c r="SB34" s="22"/>
      <c r="SC34" s="22"/>
      <c r="SD34" s="22"/>
      <c r="SE34" s="22"/>
      <c r="SF34" s="22"/>
      <c r="SG34" s="22"/>
      <c r="SH34" s="22"/>
      <c r="SI34" s="22"/>
      <c r="SJ34" s="22"/>
      <c r="SK34" s="22"/>
      <c r="SL34" s="22"/>
      <c r="SM34" s="22"/>
      <c r="SN34" s="22"/>
      <c r="SO34" s="22"/>
      <c r="SP34" s="22"/>
      <c r="SQ34" s="22"/>
      <c r="SR34" s="22"/>
      <c r="SS34" s="22"/>
      <c r="ST34" s="22"/>
      <c r="SU34" s="22"/>
      <c r="SV34" s="22"/>
      <c r="SW34" s="22"/>
      <c r="SX34" s="22"/>
      <c r="SY34" s="22"/>
      <c r="SZ34" s="22"/>
      <c r="TA34" s="22"/>
      <c r="TB34" s="22"/>
      <c r="TC34" s="22"/>
      <c r="TD34" s="22"/>
      <c r="TE34" s="22"/>
      <c r="TF34" s="22"/>
      <c r="TG34" s="22"/>
      <c r="TH34" s="22"/>
      <c r="TI34" s="22"/>
      <c r="TJ34" s="22"/>
      <c r="TK34" s="22"/>
      <c r="TL34" s="22"/>
      <c r="TM34" s="22"/>
      <c r="TN34" s="22"/>
      <c r="TO34" s="22"/>
      <c r="TP34" s="22"/>
      <c r="TQ34" s="22"/>
      <c r="TR34" s="22"/>
      <c r="TS34" s="22"/>
      <c r="TT34" s="22"/>
      <c r="TU34" s="22"/>
      <c r="TV34" s="22"/>
      <c r="TW34" s="22"/>
      <c r="TX34" s="22"/>
      <c r="TY34" s="22"/>
      <c r="TZ34" s="22"/>
      <c r="UA34" s="22"/>
      <c r="UB34" s="22"/>
      <c r="UC34" s="22"/>
      <c r="UD34" s="22"/>
      <c r="UE34" s="22"/>
      <c r="UF34" s="22"/>
      <c r="UG34" s="22"/>
      <c r="UH34" s="22"/>
      <c r="UI34" s="22"/>
      <c r="UJ34" s="22"/>
      <c r="UK34" s="22"/>
      <c r="UL34" s="22"/>
      <c r="UM34" s="22"/>
      <c r="UN34" s="22"/>
      <c r="UO34" s="22"/>
      <c r="UP34" s="22"/>
      <c r="UQ34" s="22"/>
      <c r="UR34" s="22"/>
      <c r="US34" s="22"/>
      <c r="UT34" s="22"/>
      <c r="UU34" s="22"/>
      <c r="UV34" s="22"/>
      <c r="UW34" s="22"/>
      <c r="UX34" s="22"/>
      <c r="UY34" s="22"/>
      <c r="UZ34" s="22"/>
      <c r="VA34" s="22"/>
      <c r="VB34" s="22"/>
      <c r="VC34" s="22"/>
      <c r="VD34" s="22"/>
      <c r="VE34" s="22"/>
      <c r="VF34" s="22"/>
      <c r="VG34" s="22"/>
      <c r="VH34" s="22"/>
      <c r="VI34" s="22"/>
      <c r="VJ34" s="22"/>
      <c r="VK34" s="22"/>
      <c r="VL34" s="22"/>
      <c r="VM34" s="22"/>
      <c r="VN34" s="22"/>
      <c r="VO34" s="22"/>
      <c r="VP34" s="22"/>
      <c r="VQ34" s="22"/>
      <c r="VR34" s="22"/>
      <c r="VS34" s="22"/>
      <c r="VT34" s="22"/>
      <c r="VU34" s="22"/>
      <c r="VV34" s="22"/>
      <c r="VW34" s="22"/>
      <c r="VX34" s="22"/>
      <c r="VY34" s="22"/>
      <c r="VZ34" s="22"/>
      <c r="WA34" s="22"/>
      <c r="WB34" s="22"/>
      <c r="WC34" s="22"/>
      <c r="WD34" s="22"/>
      <c r="WE34" s="22"/>
      <c r="WF34" s="22"/>
      <c r="WG34" s="22"/>
      <c r="WH34" s="22"/>
      <c r="WI34" s="22"/>
      <c r="WJ34" s="22"/>
      <c r="WK34" s="22"/>
      <c r="WL34" s="22"/>
      <c r="WM34" s="22"/>
      <c r="WN34" s="22"/>
      <c r="WO34" s="22"/>
      <c r="WP34" s="22"/>
      <c r="WQ34" s="22"/>
      <c r="WR34" s="22"/>
      <c r="WS34" s="22"/>
      <c r="WT34" s="22"/>
      <c r="WU34" s="22"/>
      <c r="WV34" s="22"/>
      <c r="WW34" s="22"/>
      <c r="WX34" s="22"/>
      <c r="WY34" s="22"/>
      <c r="WZ34" s="22"/>
      <c r="XA34" s="22"/>
      <c r="XB34" s="22"/>
      <c r="XC34" s="22"/>
      <c r="XD34" s="22"/>
      <c r="XE34" s="22"/>
      <c r="XF34" s="22"/>
      <c r="XG34" s="22"/>
      <c r="XH34" s="22"/>
      <c r="XI34" s="22"/>
      <c r="XJ34" s="22"/>
      <c r="XK34" s="22"/>
      <c r="XL34" s="22"/>
      <c r="XM34" s="22"/>
      <c r="XN34" s="22"/>
      <c r="XO34" s="22"/>
      <c r="XP34" s="22"/>
      <c r="XQ34" s="22"/>
      <c r="XR34" s="22"/>
      <c r="XS34" s="22"/>
      <c r="XT34" s="22"/>
      <c r="XU34" s="22"/>
      <c r="XV34" s="22"/>
      <c r="XW34" s="22"/>
      <c r="XX34" s="22"/>
      <c r="XY34" s="22"/>
      <c r="XZ34" s="22"/>
      <c r="YA34" s="22"/>
      <c r="YB34" s="22"/>
      <c r="YC34" s="22"/>
      <c r="YD34" s="22"/>
      <c r="YE34" s="22"/>
      <c r="YF34" s="22"/>
      <c r="YG34" s="22"/>
      <c r="YH34" s="22"/>
      <c r="YI34" s="22"/>
      <c r="YJ34" s="22"/>
      <c r="YK34" s="22"/>
      <c r="YL34" s="22"/>
      <c r="YM34" s="22"/>
      <c r="YN34" s="22"/>
      <c r="YO34" s="22"/>
      <c r="YP34" s="22"/>
      <c r="YQ34" s="22"/>
      <c r="YR34" s="22"/>
      <c r="YS34" s="22"/>
      <c r="YT34" s="22"/>
      <c r="YU34" s="22"/>
      <c r="YV34" s="22"/>
      <c r="YW34" s="22"/>
      <c r="YX34" s="22"/>
      <c r="YY34" s="22"/>
      <c r="YZ34" s="22"/>
      <c r="ZA34" s="22"/>
      <c r="ZB34" s="22"/>
      <c r="ZC34" s="22"/>
      <c r="ZD34" s="22"/>
      <c r="ZE34" s="22"/>
      <c r="ZF34" s="22"/>
      <c r="ZG34" s="22"/>
      <c r="ZH34" s="22"/>
      <c r="ZI34" s="22"/>
      <c r="ZJ34" s="22"/>
      <c r="ZK34" s="22"/>
      <c r="ZL34" s="22"/>
      <c r="ZM34" s="22"/>
      <c r="ZN34" s="22"/>
      <c r="ZO34" s="22"/>
      <c r="ZP34" s="22"/>
      <c r="ZQ34" s="22"/>
      <c r="ZR34" s="22"/>
      <c r="ZS34" s="22"/>
      <c r="ZT34" s="22"/>
      <c r="ZU34" s="22"/>
      <c r="ZV34" s="22"/>
      <c r="ZW34" s="22"/>
      <c r="ZX34" s="22"/>
      <c r="ZY34" s="22"/>
      <c r="ZZ34" s="22"/>
      <c r="AAA34" s="22"/>
      <c r="AAB34" s="22"/>
      <c r="AAC34" s="22"/>
      <c r="AAD34" s="22"/>
      <c r="AAE34" s="22"/>
      <c r="AAF34" s="22"/>
      <c r="AAG34" s="22"/>
      <c r="AAH34" s="22"/>
      <c r="AAI34" s="22"/>
      <c r="AAJ34" s="22"/>
      <c r="AAK34" s="22"/>
      <c r="AAL34" s="22"/>
      <c r="AAM34" s="22"/>
      <c r="AAN34" s="22"/>
      <c r="AAO34" s="22"/>
      <c r="AAP34" s="22"/>
      <c r="AAQ34" s="22"/>
      <c r="AAR34" s="22"/>
      <c r="AAS34" s="22"/>
      <c r="AAT34" s="22"/>
      <c r="AAU34" s="22"/>
      <c r="AAV34" s="22"/>
      <c r="AAW34" s="22"/>
      <c r="AAX34" s="22"/>
      <c r="AAY34" s="22"/>
      <c r="AAZ34" s="22"/>
      <c r="ABA34" s="22"/>
      <c r="ABB34" s="22"/>
      <c r="ABC34" s="22"/>
    </row>
    <row r="35" spans="1:731" ht="15" customHeight="1" x14ac:dyDescent="0.3">
      <c r="A35" s="410"/>
      <c r="B35" s="426"/>
      <c r="C35" s="66"/>
      <c r="D35" s="9" t="s">
        <v>11</v>
      </c>
      <c r="E35" s="10" t="s">
        <v>45</v>
      </c>
      <c r="F35" s="11">
        <f t="shared" ref="F35:G39" si="63">J35/$F$2</f>
        <v>3817.2878465332574</v>
      </c>
      <c r="G35" s="16">
        <f t="shared" si="63"/>
        <v>485.7900099781516</v>
      </c>
      <c r="H35" s="52">
        <f t="shared" si="24"/>
        <v>3331.497836555106</v>
      </c>
      <c r="I35" s="14">
        <f t="shared" si="1"/>
        <v>6.8578969680849138</v>
      </c>
      <c r="J35" s="33">
        <f>1139579501.48/1000</f>
        <v>1139579.5014800001</v>
      </c>
      <c r="K35" s="34">
        <f>145023472.07/1000</f>
        <v>145023.47206999999</v>
      </c>
      <c r="L35" s="52">
        <f t="shared" si="25"/>
        <v>994556.02941000008</v>
      </c>
      <c r="M35" s="14">
        <f t="shared" si="21"/>
        <v>6.8578969680849138</v>
      </c>
      <c r="N35" s="15">
        <f>32604570.8699999/1000</f>
        <v>32604.570869999901</v>
      </c>
      <c r="O35" s="16">
        <f>2378272.06999999/1000</f>
        <v>2378.27206999999</v>
      </c>
      <c r="P35" s="52">
        <f t="shared" si="26"/>
        <v>30226.29879999991</v>
      </c>
      <c r="Q35" s="14">
        <f t="shared" si="2"/>
        <v>12.70935280335695</v>
      </c>
      <c r="R35" s="57"/>
      <c r="S35" s="58"/>
      <c r="T35" s="52">
        <f t="shared" si="27"/>
        <v>0</v>
      </c>
      <c r="U35" s="14" t="str">
        <f t="shared" si="30"/>
        <v/>
      </c>
      <c r="V35" s="57">
        <f>2802110.87/1000</f>
        <v>2802.11087</v>
      </c>
      <c r="W35" s="58">
        <f>883353.522733333/1000</f>
        <v>883.35352273333308</v>
      </c>
      <c r="X35" s="52">
        <f t="shared" si="28"/>
        <v>1918.7573472666668</v>
      </c>
      <c r="Y35" s="14">
        <f t="shared" si="4"/>
        <v>2.17212848297646</v>
      </c>
      <c r="Z35" s="57">
        <f>29802459.9999999/1000</f>
        <v>29802.459999999901</v>
      </c>
      <c r="AA35" s="58">
        <f>1494918.54726666/1000</f>
        <v>1494.91854726666</v>
      </c>
      <c r="AB35" s="52">
        <f t="shared" si="29"/>
        <v>28307.54145273324</v>
      </c>
      <c r="AC35" s="19">
        <f t="shared" si="5"/>
        <v>18.935842025969464</v>
      </c>
      <c r="AD35" s="124">
        <f>35094140/1000</f>
        <v>35094.14</v>
      </c>
      <c r="AE35" s="140">
        <v>0</v>
      </c>
      <c r="AF35" s="108">
        <f t="shared" si="6"/>
        <v>35094.14</v>
      </c>
      <c r="AG35" s="113">
        <v>0</v>
      </c>
      <c r="AH35" s="141">
        <v>0</v>
      </c>
      <c r="AI35" s="128">
        <v>0</v>
      </c>
      <c r="AJ35" s="108">
        <f t="shared" si="8"/>
        <v>0</v>
      </c>
      <c r="AK35" s="19">
        <v>0</v>
      </c>
      <c r="AL35" s="144">
        <f>-5291680.00000002/1000</f>
        <v>-5291.6800000000194</v>
      </c>
      <c r="AM35" s="133">
        <f>1494918.54726667/1000</f>
        <v>1494.91854726667</v>
      </c>
      <c r="AN35" s="13">
        <f t="shared" si="9"/>
        <v>-6786.5985472666889</v>
      </c>
      <c r="AO35" s="19">
        <f t="shared" si="10"/>
        <v>-4.5397781435486237</v>
      </c>
      <c r="AP35" s="428"/>
      <c r="AQ35" s="22"/>
      <c r="AR35" s="1">
        <f t="shared" si="11"/>
        <v>0</v>
      </c>
      <c r="AS35" s="1">
        <f t="shared" si="12"/>
        <v>-3.1832314562052488E-12</v>
      </c>
      <c r="AT35" s="1">
        <f t="shared" si="13"/>
        <v>-7.9126039054244757E-11</v>
      </c>
      <c r="AU35" s="1">
        <f t="shared" si="14"/>
        <v>-1.0004441719502211E-11</v>
      </c>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c r="GD35" s="22"/>
      <c r="GE35" s="22"/>
      <c r="GF35" s="22"/>
      <c r="GG35" s="22"/>
      <c r="GH35" s="22"/>
      <c r="GI35" s="22"/>
      <c r="GJ35" s="22"/>
      <c r="GK35" s="22"/>
      <c r="GL35" s="22"/>
      <c r="GM35" s="22"/>
      <c r="GN35" s="22"/>
      <c r="GO35" s="22"/>
      <c r="GP35" s="22"/>
      <c r="GQ35" s="22"/>
      <c r="GR35" s="22"/>
      <c r="GS35" s="22"/>
      <c r="GT35" s="22"/>
      <c r="GU35" s="22"/>
      <c r="GV35" s="22"/>
      <c r="GW35" s="22"/>
      <c r="GX35" s="22"/>
      <c r="GY35" s="22"/>
      <c r="GZ35" s="22"/>
      <c r="HA35" s="22"/>
      <c r="HB35" s="22"/>
      <c r="HC35" s="22"/>
      <c r="HD35" s="22"/>
      <c r="HE35" s="22"/>
      <c r="HF35" s="22"/>
      <c r="HG35" s="22"/>
      <c r="HH35" s="22"/>
      <c r="HI35" s="22"/>
      <c r="HJ35" s="22"/>
      <c r="HK35" s="22"/>
      <c r="HL35" s="22"/>
      <c r="HM35" s="22"/>
      <c r="HN35" s="22"/>
      <c r="HO35" s="22"/>
      <c r="HP35" s="22"/>
      <c r="HQ35" s="22"/>
      <c r="HR35" s="22"/>
      <c r="HS35" s="22"/>
      <c r="HT35" s="22"/>
      <c r="HU35" s="22"/>
      <c r="HV35" s="22"/>
      <c r="HW35" s="22"/>
      <c r="HX35" s="22"/>
      <c r="HY35" s="22"/>
      <c r="HZ35" s="22"/>
      <c r="IA35" s="22"/>
      <c r="IB35" s="22"/>
      <c r="IC35" s="22"/>
      <c r="ID35" s="22"/>
      <c r="IE35" s="22"/>
      <c r="IF35" s="22"/>
      <c r="IG35" s="22"/>
      <c r="IH35" s="22"/>
      <c r="II35" s="22"/>
      <c r="IJ35" s="22"/>
      <c r="IK35" s="22"/>
      <c r="IL35" s="22"/>
      <c r="IM35" s="22"/>
      <c r="IN35" s="22"/>
      <c r="IO35" s="22"/>
      <c r="IP35" s="22"/>
      <c r="IQ35" s="22"/>
      <c r="IR35" s="22"/>
      <c r="IS35" s="22"/>
      <c r="IT35" s="22"/>
      <c r="IU35" s="22"/>
      <c r="IV35" s="22"/>
      <c r="IW35" s="22"/>
      <c r="IX35" s="22"/>
      <c r="IY35" s="22"/>
      <c r="IZ35" s="22"/>
      <c r="JA35" s="22"/>
      <c r="JB35" s="22"/>
      <c r="JC35" s="22"/>
      <c r="JD35" s="22"/>
      <c r="JE35" s="22"/>
      <c r="JJ35" s="22"/>
      <c r="JK35" s="22"/>
      <c r="JL35" s="22"/>
      <c r="JM35" s="22"/>
      <c r="JN35" s="22"/>
      <c r="JO35" s="22"/>
      <c r="JP35" s="22"/>
      <c r="JQ35" s="22"/>
      <c r="JR35" s="22"/>
      <c r="JS35" s="22"/>
      <c r="JT35" s="22"/>
      <c r="JU35" s="22"/>
      <c r="JV35" s="22"/>
      <c r="JW35" s="22"/>
      <c r="JX35" s="22"/>
      <c r="JY35" s="22"/>
      <c r="JZ35" s="22"/>
      <c r="KA35" s="22"/>
      <c r="KB35" s="22"/>
      <c r="KC35" s="22"/>
      <c r="KD35" s="22"/>
      <c r="KE35" s="22"/>
      <c r="KF35" s="22"/>
      <c r="KG35" s="22"/>
      <c r="KH35" s="22"/>
      <c r="KI35" s="22"/>
      <c r="KJ35" s="22"/>
      <c r="KK35" s="22"/>
      <c r="KL35" s="22"/>
      <c r="KM35" s="22"/>
      <c r="KN35" s="22"/>
      <c r="KO35" s="22"/>
      <c r="KP35" s="22"/>
      <c r="KQ35" s="22"/>
      <c r="KR35" s="22"/>
      <c r="KS35" s="22"/>
      <c r="KT35" s="22"/>
      <c r="KU35" s="22"/>
      <c r="KV35" s="22"/>
      <c r="KW35" s="22"/>
      <c r="KX35" s="22"/>
      <c r="KY35" s="22"/>
      <c r="KZ35" s="22"/>
      <c r="LA35" s="22"/>
      <c r="LB35" s="22"/>
      <c r="LC35" s="22"/>
      <c r="LD35" s="22"/>
      <c r="LE35" s="22"/>
      <c r="LF35" s="22"/>
      <c r="LG35" s="22"/>
      <c r="LH35" s="22"/>
      <c r="LI35" s="22"/>
      <c r="LJ35" s="22"/>
      <c r="LK35" s="22"/>
      <c r="LL35" s="22"/>
      <c r="LM35" s="22"/>
      <c r="LN35" s="22"/>
      <c r="LO35" s="22"/>
      <c r="LP35" s="22"/>
      <c r="LQ35" s="22"/>
      <c r="LR35" s="22"/>
      <c r="LS35" s="22"/>
      <c r="LT35" s="22"/>
      <c r="LU35" s="22"/>
      <c r="LV35" s="22"/>
      <c r="LW35" s="22"/>
      <c r="LX35" s="22"/>
      <c r="LY35" s="22"/>
      <c r="LZ35" s="22"/>
      <c r="MA35" s="22"/>
      <c r="MB35" s="22"/>
      <c r="MC35" s="22"/>
      <c r="MD35" s="22"/>
      <c r="ME35" s="22"/>
      <c r="MF35" s="22"/>
      <c r="MG35" s="22"/>
      <c r="MH35" s="22"/>
      <c r="MI35" s="22"/>
      <c r="MJ35" s="22"/>
      <c r="MK35" s="22"/>
      <c r="ML35" s="22"/>
      <c r="MM35" s="22"/>
      <c r="MN35" s="22"/>
      <c r="MO35" s="22"/>
      <c r="MP35" s="22"/>
      <c r="MQ35" s="22"/>
      <c r="MR35" s="22"/>
      <c r="MS35" s="22"/>
      <c r="MT35" s="22"/>
      <c r="MU35" s="22"/>
      <c r="MV35" s="22"/>
      <c r="MW35" s="22"/>
      <c r="MX35" s="22"/>
      <c r="MY35" s="22"/>
      <c r="MZ35" s="22"/>
      <c r="NA35" s="22"/>
      <c r="NB35" s="22"/>
      <c r="NC35" s="22"/>
      <c r="ND35" s="22"/>
      <c r="NE35" s="22"/>
      <c r="NF35" s="22"/>
      <c r="NG35" s="22"/>
      <c r="NH35" s="22"/>
      <c r="NI35" s="22"/>
      <c r="NJ35" s="22"/>
      <c r="NK35" s="22"/>
      <c r="NL35" s="22"/>
      <c r="NM35" s="22"/>
      <c r="NN35" s="22"/>
      <c r="NO35" s="22"/>
      <c r="NP35" s="22"/>
      <c r="NQ35" s="22"/>
      <c r="NR35" s="22"/>
      <c r="NS35" s="22"/>
      <c r="NT35" s="22"/>
      <c r="NU35" s="22"/>
      <c r="NV35" s="22"/>
      <c r="NW35" s="22"/>
      <c r="NX35" s="22"/>
      <c r="NY35" s="22"/>
      <c r="NZ35" s="22"/>
      <c r="OA35" s="22"/>
      <c r="OB35" s="22"/>
      <c r="OC35" s="22"/>
      <c r="OD35" s="22"/>
      <c r="OE35" s="22"/>
      <c r="OF35" s="22"/>
      <c r="OG35" s="22"/>
      <c r="OH35" s="22"/>
      <c r="OI35" s="22"/>
      <c r="OJ35" s="22"/>
      <c r="OK35" s="22"/>
      <c r="OL35" s="22"/>
      <c r="OM35" s="22"/>
      <c r="ON35" s="22"/>
      <c r="OO35" s="22"/>
      <c r="OP35" s="22"/>
      <c r="OQ35" s="22"/>
      <c r="OR35" s="22"/>
      <c r="OS35" s="22"/>
      <c r="OT35" s="22"/>
      <c r="OU35" s="22"/>
      <c r="OV35" s="22"/>
      <c r="OW35" s="22"/>
      <c r="OX35" s="22"/>
      <c r="OY35" s="22"/>
      <c r="OZ35" s="22"/>
      <c r="PA35" s="22"/>
      <c r="PB35" s="22"/>
      <c r="PC35" s="22"/>
      <c r="PD35" s="22"/>
      <c r="PE35" s="22"/>
      <c r="PF35" s="22"/>
      <c r="PG35" s="22"/>
      <c r="PH35" s="22"/>
      <c r="PI35" s="22"/>
      <c r="PJ35" s="22"/>
      <c r="PK35" s="22"/>
      <c r="PL35" s="22"/>
      <c r="PM35" s="22"/>
      <c r="PN35" s="22"/>
      <c r="PO35" s="22"/>
      <c r="PP35" s="22"/>
      <c r="PQ35" s="22"/>
      <c r="PR35" s="22"/>
      <c r="PS35" s="22"/>
      <c r="PT35" s="22"/>
      <c r="PU35" s="22"/>
      <c r="PV35" s="22"/>
      <c r="PW35" s="22"/>
      <c r="PX35" s="22"/>
      <c r="PY35" s="22"/>
      <c r="PZ35" s="22"/>
      <c r="QA35" s="22"/>
      <c r="QB35" s="22"/>
      <c r="QC35" s="22"/>
      <c r="QD35" s="22"/>
      <c r="QE35" s="22"/>
      <c r="QF35" s="22"/>
      <c r="QG35" s="22"/>
      <c r="QH35" s="22"/>
      <c r="QI35" s="22"/>
      <c r="QJ35" s="22"/>
      <c r="QK35" s="22"/>
      <c r="QL35" s="22"/>
      <c r="QM35" s="22"/>
      <c r="QN35" s="22"/>
      <c r="QO35" s="22"/>
      <c r="QP35" s="22"/>
      <c r="QQ35" s="22"/>
      <c r="QR35" s="22"/>
      <c r="QS35" s="22"/>
      <c r="QT35" s="22"/>
      <c r="QU35" s="22"/>
      <c r="QV35" s="22"/>
      <c r="QW35" s="22"/>
      <c r="QX35" s="22"/>
      <c r="QY35" s="22"/>
      <c r="QZ35" s="22"/>
      <c r="RA35" s="22"/>
      <c r="RB35" s="22"/>
      <c r="RC35" s="22"/>
      <c r="RD35" s="22"/>
      <c r="RE35" s="22"/>
      <c r="RF35" s="22"/>
      <c r="RG35" s="22"/>
      <c r="RH35" s="22"/>
      <c r="RI35" s="22"/>
      <c r="RJ35" s="22"/>
      <c r="RK35" s="22"/>
      <c r="RL35" s="22"/>
      <c r="RM35" s="22"/>
      <c r="RN35" s="22"/>
      <c r="RO35" s="22"/>
      <c r="RP35" s="22"/>
      <c r="RQ35" s="22"/>
      <c r="RR35" s="22"/>
      <c r="RS35" s="22"/>
      <c r="RT35" s="22"/>
      <c r="RU35" s="22"/>
      <c r="RV35" s="22"/>
      <c r="RW35" s="22"/>
      <c r="RX35" s="22"/>
      <c r="RY35" s="22"/>
      <c r="RZ35" s="22"/>
      <c r="SA35" s="22"/>
      <c r="SB35" s="22"/>
      <c r="SC35" s="22"/>
      <c r="SD35" s="22"/>
      <c r="SE35" s="22"/>
      <c r="SF35" s="22"/>
      <c r="SG35" s="22"/>
      <c r="SH35" s="22"/>
      <c r="SI35" s="22"/>
      <c r="SJ35" s="22"/>
      <c r="SK35" s="22"/>
      <c r="SL35" s="22"/>
      <c r="SM35" s="22"/>
      <c r="SN35" s="22"/>
      <c r="SO35" s="22"/>
      <c r="SP35" s="22"/>
      <c r="SQ35" s="22"/>
      <c r="SR35" s="22"/>
      <c r="SS35" s="22"/>
      <c r="ST35" s="22"/>
      <c r="SU35" s="22"/>
      <c r="SV35" s="22"/>
      <c r="SW35" s="22"/>
      <c r="SX35" s="22"/>
      <c r="SY35" s="22"/>
      <c r="SZ35" s="22"/>
      <c r="TA35" s="22"/>
      <c r="TB35" s="22"/>
      <c r="TC35" s="22"/>
      <c r="TD35" s="22"/>
      <c r="TE35" s="22"/>
      <c r="TF35" s="22"/>
      <c r="TG35" s="22"/>
      <c r="TH35" s="22"/>
      <c r="TI35" s="22"/>
      <c r="TJ35" s="22"/>
      <c r="TK35" s="22"/>
      <c r="TL35" s="22"/>
      <c r="TM35" s="22"/>
      <c r="TN35" s="22"/>
      <c r="TO35" s="22"/>
      <c r="TP35" s="22"/>
      <c r="TQ35" s="22"/>
      <c r="TR35" s="22"/>
      <c r="TS35" s="22"/>
      <c r="TT35" s="22"/>
      <c r="TU35" s="22"/>
      <c r="TV35" s="22"/>
      <c r="TW35" s="22"/>
      <c r="TX35" s="22"/>
      <c r="TY35" s="22"/>
      <c r="TZ35" s="22"/>
      <c r="UA35" s="22"/>
      <c r="UB35" s="22"/>
      <c r="UC35" s="22"/>
      <c r="UD35" s="22"/>
      <c r="UE35" s="22"/>
      <c r="UF35" s="22"/>
      <c r="UG35" s="22"/>
      <c r="UH35" s="22"/>
      <c r="UI35" s="22"/>
      <c r="UJ35" s="22"/>
      <c r="UK35" s="22"/>
      <c r="UL35" s="22"/>
      <c r="UM35" s="22"/>
      <c r="UN35" s="22"/>
      <c r="UO35" s="22"/>
      <c r="UP35" s="22"/>
      <c r="UQ35" s="22"/>
      <c r="UR35" s="22"/>
      <c r="US35" s="22"/>
      <c r="UT35" s="22"/>
      <c r="UU35" s="22"/>
      <c r="UV35" s="22"/>
      <c r="UW35" s="22"/>
      <c r="UX35" s="22"/>
      <c r="UY35" s="22"/>
      <c r="UZ35" s="22"/>
      <c r="VA35" s="22"/>
      <c r="VB35" s="22"/>
      <c r="VC35" s="22"/>
      <c r="VD35" s="22"/>
      <c r="VE35" s="22"/>
      <c r="VF35" s="22"/>
      <c r="VG35" s="22"/>
      <c r="VH35" s="22"/>
      <c r="VI35" s="22"/>
      <c r="VJ35" s="22"/>
      <c r="VK35" s="22"/>
      <c r="VL35" s="22"/>
      <c r="VM35" s="22"/>
      <c r="VN35" s="22"/>
      <c r="VO35" s="22"/>
      <c r="VP35" s="22"/>
      <c r="VQ35" s="22"/>
      <c r="VR35" s="22"/>
      <c r="VS35" s="22"/>
      <c r="VT35" s="22"/>
      <c r="VU35" s="22"/>
      <c r="VV35" s="22"/>
      <c r="VW35" s="22"/>
      <c r="VX35" s="22"/>
      <c r="VY35" s="22"/>
      <c r="VZ35" s="22"/>
      <c r="WA35" s="22"/>
      <c r="WB35" s="22"/>
      <c r="WC35" s="22"/>
      <c r="WD35" s="22"/>
      <c r="WE35" s="22"/>
      <c r="WF35" s="22"/>
      <c r="WG35" s="22"/>
      <c r="WH35" s="22"/>
      <c r="WI35" s="22"/>
      <c r="WJ35" s="22"/>
      <c r="WK35" s="22"/>
      <c r="WL35" s="22"/>
      <c r="WM35" s="22"/>
      <c r="WN35" s="22"/>
      <c r="WO35" s="22"/>
      <c r="WP35" s="22"/>
      <c r="WQ35" s="22"/>
      <c r="WR35" s="22"/>
      <c r="WS35" s="22"/>
      <c r="WT35" s="22"/>
      <c r="WU35" s="22"/>
      <c r="WV35" s="22"/>
      <c r="WW35" s="22"/>
      <c r="WX35" s="22"/>
      <c r="WY35" s="22"/>
      <c r="WZ35" s="22"/>
      <c r="XA35" s="22"/>
      <c r="XB35" s="22"/>
      <c r="XC35" s="22"/>
      <c r="XD35" s="22"/>
      <c r="XE35" s="22"/>
      <c r="XF35" s="22"/>
      <c r="XG35" s="22"/>
      <c r="XH35" s="22"/>
      <c r="XI35" s="22"/>
      <c r="XJ35" s="22"/>
      <c r="XK35" s="22"/>
      <c r="XL35" s="22"/>
      <c r="XM35" s="22"/>
      <c r="XN35" s="22"/>
      <c r="XO35" s="22"/>
      <c r="XP35" s="22"/>
      <c r="XQ35" s="22"/>
      <c r="XR35" s="22"/>
      <c r="XS35" s="22"/>
      <c r="XT35" s="22"/>
      <c r="XU35" s="22"/>
      <c r="XV35" s="22"/>
      <c r="XW35" s="22"/>
      <c r="XX35" s="22"/>
      <c r="XY35" s="22"/>
      <c r="XZ35" s="22"/>
      <c r="YA35" s="22"/>
      <c r="YB35" s="22"/>
      <c r="YC35" s="22"/>
      <c r="YD35" s="22"/>
      <c r="YE35" s="22"/>
      <c r="YF35" s="22"/>
      <c r="YG35" s="22"/>
      <c r="YH35" s="22"/>
      <c r="YI35" s="22"/>
      <c r="YJ35" s="22"/>
      <c r="YK35" s="22"/>
      <c r="YL35" s="22"/>
      <c r="YM35" s="22"/>
      <c r="YN35" s="22"/>
      <c r="YO35" s="22"/>
      <c r="YP35" s="22"/>
      <c r="YQ35" s="22"/>
      <c r="YR35" s="22"/>
      <c r="YS35" s="22"/>
      <c r="YT35" s="22"/>
      <c r="YU35" s="22"/>
      <c r="YV35" s="22"/>
      <c r="YW35" s="22"/>
      <c r="YX35" s="22"/>
      <c r="YY35" s="22"/>
      <c r="YZ35" s="22"/>
      <c r="ZA35" s="22"/>
      <c r="ZB35" s="22"/>
      <c r="ZC35" s="22"/>
      <c r="ZD35" s="22"/>
      <c r="ZE35" s="22"/>
      <c r="ZF35" s="22"/>
      <c r="ZG35" s="22"/>
      <c r="ZH35" s="22"/>
      <c r="ZI35" s="22"/>
      <c r="ZJ35" s="22"/>
      <c r="ZK35" s="22"/>
      <c r="ZL35" s="22"/>
      <c r="ZM35" s="22"/>
      <c r="ZN35" s="22"/>
      <c r="ZO35" s="22"/>
      <c r="ZP35" s="22"/>
      <c r="ZQ35" s="22"/>
      <c r="ZR35" s="22"/>
      <c r="ZS35" s="22"/>
      <c r="ZT35" s="22"/>
      <c r="ZU35" s="22"/>
      <c r="ZV35" s="22"/>
      <c r="ZW35" s="22"/>
      <c r="ZX35" s="22"/>
      <c r="ZY35" s="22"/>
      <c r="ZZ35" s="22"/>
      <c r="AAA35" s="22"/>
      <c r="AAB35" s="22"/>
      <c r="AAC35" s="22"/>
      <c r="AAD35" s="22"/>
      <c r="AAE35" s="22"/>
      <c r="AAF35" s="22"/>
      <c r="AAG35" s="22"/>
      <c r="AAH35" s="22"/>
      <c r="AAI35" s="22"/>
      <c r="AAJ35" s="22"/>
      <c r="AAK35" s="22"/>
      <c r="AAL35" s="22"/>
      <c r="AAM35" s="22"/>
      <c r="AAN35" s="22"/>
      <c r="AAO35" s="22"/>
      <c r="AAP35" s="22"/>
      <c r="AAQ35" s="22"/>
      <c r="AAR35" s="22"/>
      <c r="AAS35" s="22"/>
      <c r="AAT35" s="22"/>
      <c r="AAU35" s="22"/>
      <c r="AAV35" s="22"/>
      <c r="AAW35" s="22"/>
      <c r="AAX35" s="22"/>
      <c r="AAY35" s="22"/>
      <c r="AAZ35" s="22"/>
      <c r="ABA35" s="22"/>
      <c r="ABB35" s="22"/>
      <c r="ABC35" s="22"/>
    </row>
    <row r="36" spans="1:731" ht="15" customHeight="1" x14ac:dyDescent="0.3">
      <c r="A36" s="410"/>
      <c r="B36" s="426"/>
      <c r="C36" s="66"/>
      <c r="D36" s="9" t="s">
        <v>11</v>
      </c>
      <c r="E36" s="10" t="s">
        <v>46</v>
      </c>
      <c r="F36" s="11">
        <f t="shared" si="63"/>
        <v>77.999736301341144</v>
      </c>
      <c r="G36" s="16">
        <f t="shared" si="63"/>
        <v>64.725529773752257</v>
      </c>
      <c r="H36" s="52">
        <f t="shared" si="24"/>
        <v>13.274206527588888</v>
      </c>
      <c r="I36" s="14">
        <f t="shared" si="1"/>
        <v>0.2050845558775464</v>
      </c>
      <c r="J36" s="33">
        <f>23285354.467198/1000</f>
        <v>23285.354467197998</v>
      </c>
      <c r="K36" s="34">
        <f>19322589.7333333/1000</f>
        <v>19322.589733333301</v>
      </c>
      <c r="L36" s="52">
        <f t="shared" si="25"/>
        <v>3962.7647338646966</v>
      </c>
      <c r="M36" s="14">
        <f t="shared" si="21"/>
        <v>0.20508455587754634</v>
      </c>
      <c r="N36" s="15">
        <f>23279637.467198/1000</f>
        <v>23279.637467198001</v>
      </c>
      <c r="O36" s="16">
        <f>18680699.6433333/1000</f>
        <v>18680.699643333301</v>
      </c>
      <c r="P36" s="52">
        <f t="shared" si="26"/>
        <v>4598.9378238647005</v>
      </c>
      <c r="Q36" s="14">
        <f t="shared" si="2"/>
        <v>0.24618659427490727</v>
      </c>
      <c r="R36" s="57"/>
      <c r="S36" s="58"/>
      <c r="T36" s="52">
        <f t="shared" si="27"/>
        <v>0</v>
      </c>
      <c r="U36" s="14" t="str">
        <f t="shared" si="30"/>
        <v/>
      </c>
      <c r="V36" s="57">
        <f>19000287/1000</f>
        <v>19000.287</v>
      </c>
      <c r="W36" s="58">
        <f>19980596.3858076/1000</f>
        <v>19980.596385807599</v>
      </c>
      <c r="X36" s="52">
        <f t="shared" si="28"/>
        <v>-980.30938580759903</v>
      </c>
      <c r="Y36" s="14">
        <f t="shared" si="4"/>
        <v>-4.9063069333802355E-2</v>
      </c>
      <c r="Z36" s="57">
        <f>4279350.467198/1000</f>
        <v>4279.3504671979999</v>
      </c>
      <c r="AA36" s="28">
        <f>-1299896.74247426/1000</f>
        <v>-1299.89674247426</v>
      </c>
      <c r="AB36" s="52">
        <f t="shared" si="29"/>
        <v>5579.2472096722595</v>
      </c>
      <c r="AC36" s="19">
        <f t="shared" si="5"/>
        <v>4.2920695370407369</v>
      </c>
      <c r="AD36" s="126">
        <v>0</v>
      </c>
      <c r="AE36" s="140">
        <v>0</v>
      </c>
      <c r="AF36" s="108">
        <f t="shared" si="6"/>
        <v>0</v>
      </c>
      <c r="AG36" s="113">
        <v>0</v>
      </c>
      <c r="AH36" s="142">
        <f>2819319.532802/1000</f>
        <v>2819.3195328020001</v>
      </c>
      <c r="AI36" s="128">
        <v>0</v>
      </c>
      <c r="AJ36" s="108">
        <f t="shared" si="8"/>
        <v>2819.3195328020001</v>
      </c>
      <c r="AK36" s="19">
        <v>0</v>
      </c>
      <c r="AL36" s="142">
        <f>7098670/1000</f>
        <v>7098.67</v>
      </c>
      <c r="AM36" s="134">
        <f>-1299896.74247426/1000</f>
        <v>-1299.89674247426</v>
      </c>
      <c r="AN36" s="13">
        <f t="shared" si="9"/>
        <v>8398.5667424742605</v>
      </c>
      <c r="AO36" s="19">
        <f t="shared" si="10"/>
        <v>6.4609491416127351</v>
      </c>
      <c r="AP36" s="428"/>
      <c r="AQ36" s="22"/>
      <c r="AR36" s="1">
        <f t="shared" si="11"/>
        <v>0</v>
      </c>
      <c r="AS36" s="1">
        <f t="shared" si="12"/>
        <v>-3.865352482534945E-11</v>
      </c>
      <c r="AT36" s="1">
        <f t="shared" si="13"/>
        <v>0</v>
      </c>
      <c r="AU36" s="1">
        <f t="shared" si="14"/>
        <v>0</v>
      </c>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c r="GD36" s="22"/>
      <c r="GE36" s="22"/>
      <c r="GF36" s="22"/>
      <c r="GG36" s="22"/>
      <c r="GH36" s="22"/>
      <c r="GI36" s="22"/>
      <c r="GJ36" s="22"/>
      <c r="GK36" s="22"/>
      <c r="GL36" s="22"/>
      <c r="GM36" s="2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c r="HM36" s="22"/>
      <c r="HN36" s="22"/>
      <c r="HO36" s="22"/>
      <c r="HP36" s="22"/>
      <c r="HQ36" s="22"/>
      <c r="HR36" s="22"/>
      <c r="HS36" s="22"/>
      <c r="HT36" s="22"/>
      <c r="HU36" s="22"/>
      <c r="HV36" s="22"/>
      <c r="HW36" s="22"/>
      <c r="HX36" s="22"/>
      <c r="HY36" s="22"/>
      <c r="HZ36" s="22"/>
      <c r="IA36" s="22"/>
      <c r="IB36" s="22"/>
      <c r="IC36" s="22"/>
      <c r="ID36" s="22"/>
      <c r="IE36" s="22"/>
      <c r="IF36" s="22"/>
      <c r="IG36" s="22"/>
      <c r="IH36" s="22"/>
      <c r="II36" s="22"/>
      <c r="IJ36" s="22"/>
      <c r="IK36" s="22"/>
      <c r="IL36" s="22"/>
      <c r="IM36" s="22"/>
      <c r="IN36" s="22"/>
      <c r="IO36" s="22"/>
      <c r="IP36" s="22"/>
      <c r="IQ36" s="22"/>
      <c r="IR36" s="22"/>
      <c r="IS36" s="22"/>
      <c r="IT36" s="22"/>
      <c r="IU36" s="22"/>
      <c r="IV36" s="22"/>
      <c r="IW36" s="22"/>
      <c r="IX36" s="22"/>
      <c r="IY36" s="22"/>
      <c r="IZ36" s="22"/>
      <c r="JA36" s="22"/>
      <c r="JB36" s="22"/>
      <c r="JC36" s="22"/>
      <c r="JD36" s="22"/>
      <c r="JE36" s="22"/>
      <c r="JJ36" s="22"/>
      <c r="JK36" s="22"/>
      <c r="JL36" s="22"/>
      <c r="JM36" s="22"/>
      <c r="JN36" s="22"/>
      <c r="JO36" s="22"/>
      <c r="JP36" s="22"/>
      <c r="JQ36" s="22"/>
      <c r="JR36" s="22"/>
      <c r="JS36" s="22"/>
      <c r="JT36" s="22"/>
      <c r="JU36" s="22"/>
      <c r="JV36" s="22"/>
      <c r="JW36" s="22"/>
      <c r="JX36" s="22"/>
      <c r="JY36" s="22"/>
      <c r="JZ36" s="22"/>
      <c r="KA36" s="22"/>
      <c r="KB36" s="22"/>
      <c r="KC36" s="22"/>
      <c r="KD36" s="22"/>
      <c r="KE36" s="22"/>
      <c r="KF36" s="22"/>
      <c r="KG36" s="22"/>
      <c r="KH36" s="22"/>
      <c r="KI36" s="22"/>
      <c r="KJ36" s="22"/>
      <c r="KK36" s="22"/>
      <c r="KL36" s="22"/>
      <c r="KM36" s="22"/>
      <c r="KN36" s="22"/>
      <c r="KO36" s="22"/>
      <c r="KP36" s="22"/>
      <c r="KQ36" s="22"/>
      <c r="KR36" s="22"/>
      <c r="KS36" s="22"/>
      <c r="KT36" s="22"/>
      <c r="KU36" s="22"/>
      <c r="KV36" s="22"/>
      <c r="KW36" s="22"/>
      <c r="KX36" s="22"/>
      <c r="KY36" s="22"/>
      <c r="KZ36" s="22"/>
      <c r="LA36" s="22"/>
      <c r="LB36" s="22"/>
      <c r="LC36" s="22"/>
      <c r="LD36" s="22"/>
      <c r="LE36" s="22"/>
      <c r="LF36" s="22"/>
      <c r="LG36" s="22"/>
      <c r="LH36" s="22"/>
      <c r="LI36" s="22"/>
      <c r="LJ36" s="22"/>
      <c r="LK36" s="22"/>
      <c r="LL36" s="22"/>
      <c r="LM36" s="22"/>
      <c r="LN36" s="22"/>
      <c r="LO36" s="22"/>
      <c r="LP36" s="22"/>
      <c r="LQ36" s="22"/>
      <c r="LR36" s="22"/>
      <c r="LS36" s="22"/>
      <c r="LT36" s="22"/>
      <c r="LU36" s="22"/>
      <c r="LV36" s="22"/>
      <c r="LW36" s="22"/>
      <c r="LX36" s="22"/>
      <c r="LY36" s="22"/>
      <c r="LZ36" s="22"/>
      <c r="MA36" s="22"/>
      <c r="MB36" s="22"/>
      <c r="MC36" s="22"/>
      <c r="MD36" s="22"/>
      <c r="ME36" s="22"/>
      <c r="MF36" s="22"/>
      <c r="MG36" s="22"/>
      <c r="MH36" s="22"/>
      <c r="MI36" s="22"/>
      <c r="MJ36" s="22"/>
      <c r="MK36" s="22"/>
      <c r="ML36" s="22"/>
      <c r="MM36" s="22"/>
      <c r="MN36" s="22"/>
      <c r="MO36" s="22"/>
      <c r="MP36" s="22"/>
      <c r="MQ36" s="22"/>
      <c r="MR36" s="22"/>
      <c r="MS36" s="22"/>
      <c r="MT36" s="22"/>
      <c r="MU36" s="22"/>
      <c r="MV36" s="22"/>
      <c r="MW36" s="22"/>
      <c r="MX36" s="22"/>
      <c r="MY36" s="22"/>
      <c r="MZ36" s="22"/>
      <c r="NA36" s="22"/>
      <c r="NB36" s="22"/>
      <c r="NC36" s="22"/>
      <c r="ND36" s="22"/>
      <c r="NE36" s="22"/>
      <c r="NF36" s="22"/>
      <c r="NG36" s="22"/>
      <c r="NH36" s="22"/>
      <c r="NI36" s="22"/>
      <c r="NJ36" s="22"/>
      <c r="NK36" s="22"/>
      <c r="NL36" s="22"/>
      <c r="NM36" s="22"/>
      <c r="NN36" s="22"/>
      <c r="NO36" s="22"/>
      <c r="NP36" s="22"/>
      <c r="NQ36" s="22"/>
      <c r="NR36" s="22"/>
      <c r="NS36" s="22"/>
      <c r="NT36" s="22"/>
      <c r="NU36" s="22"/>
      <c r="NV36" s="22"/>
      <c r="NW36" s="22"/>
      <c r="NX36" s="22"/>
      <c r="NY36" s="22"/>
      <c r="NZ36" s="22"/>
      <c r="OA36" s="22"/>
      <c r="OB36" s="22"/>
      <c r="OC36" s="22"/>
      <c r="OD36" s="22"/>
      <c r="OE36" s="22"/>
      <c r="OF36" s="22"/>
      <c r="OG36" s="22"/>
      <c r="OH36" s="22"/>
      <c r="OI36" s="22"/>
      <c r="OJ36" s="22"/>
      <c r="OK36" s="22"/>
      <c r="OL36" s="22"/>
      <c r="OM36" s="22"/>
      <c r="ON36" s="22"/>
      <c r="OO36" s="22"/>
      <c r="OP36" s="22"/>
      <c r="OQ36" s="22"/>
      <c r="OR36" s="22"/>
      <c r="OS36" s="22"/>
      <c r="OT36" s="22"/>
      <c r="OU36" s="22"/>
      <c r="OV36" s="22"/>
      <c r="OW36" s="22"/>
      <c r="OX36" s="22"/>
      <c r="OY36" s="22"/>
      <c r="OZ36" s="22"/>
      <c r="PA36" s="22"/>
      <c r="PB36" s="22"/>
      <c r="PC36" s="22"/>
      <c r="PD36" s="22"/>
      <c r="PE36" s="22"/>
      <c r="PF36" s="22"/>
      <c r="PG36" s="22"/>
      <c r="PH36" s="22"/>
      <c r="PI36" s="22"/>
      <c r="PJ36" s="22"/>
      <c r="PK36" s="22"/>
      <c r="PL36" s="22"/>
      <c r="PM36" s="22"/>
      <c r="PN36" s="22"/>
      <c r="PO36" s="22"/>
      <c r="PP36" s="22"/>
      <c r="PQ36" s="22"/>
      <c r="PR36" s="22"/>
      <c r="PS36" s="22"/>
      <c r="PT36" s="22"/>
      <c r="PU36" s="22"/>
      <c r="PV36" s="22"/>
      <c r="PW36" s="22"/>
      <c r="PX36" s="22"/>
      <c r="PY36" s="22"/>
      <c r="PZ36" s="22"/>
      <c r="QA36" s="22"/>
      <c r="QB36" s="22"/>
      <c r="QC36" s="22"/>
      <c r="QD36" s="22"/>
      <c r="QE36" s="22"/>
      <c r="QF36" s="22"/>
      <c r="QG36" s="22"/>
      <c r="QH36" s="22"/>
      <c r="QI36" s="22"/>
      <c r="QJ36" s="22"/>
      <c r="QK36" s="22"/>
      <c r="QL36" s="22"/>
      <c r="QM36" s="22"/>
      <c r="QN36" s="22"/>
      <c r="QO36" s="22"/>
      <c r="QP36" s="22"/>
      <c r="QQ36" s="22"/>
      <c r="QR36" s="22"/>
      <c r="QS36" s="22"/>
      <c r="QT36" s="22"/>
      <c r="QU36" s="22"/>
      <c r="QV36" s="22"/>
      <c r="QW36" s="22"/>
      <c r="QX36" s="22"/>
      <c r="QY36" s="22"/>
      <c r="QZ36" s="22"/>
      <c r="RA36" s="22"/>
      <c r="RB36" s="22"/>
      <c r="RC36" s="22"/>
      <c r="RD36" s="22"/>
      <c r="RE36" s="22"/>
      <c r="RF36" s="22"/>
      <c r="RG36" s="22"/>
      <c r="RH36" s="22"/>
      <c r="RI36" s="22"/>
      <c r="RJ36" s="22"/>
      <c r="RK36" s="22"/>
      <c r="RL36" s="22"/>
      <c r="RM36" s="22"/>
      <c r="RN36" s="22"/>
      <c r="RO36" s="22"/>
      <c r="RP36" s="22"/>
      <c r="RQ36" s="22"/>
      <c r="RR36" s="22"/>
      <c r="RS36" s="22"/>
      <c r="RT36" s="22"/>
      <c r="RU36" s="22"/>
      <c r="RV36" s="22"/>
      <c r="RW36" s="22"/>
      <c r="RX36" s="22"/>
      <c r="RY36" s="22"/>
      <c r="RZ36" s="22"/>
      <c r="SA36" s="22"/>
      <c r="SB36" s="22"/>
      <c r="SC36" s="22"/>
      <c r="SD36" s="22"/>
      <c r="SE36" s="22"/>
      <c r="SF36" s="22"/>
      <c r="SG36" s="22"/>
      <c r="SH36" s="22"/>
      <c r="SI36" s="22"/>
      <c r="SJ36" s="22"/>
      <c r="SK36" s="22"/>
      <c r="SL36" s="22"/>
      <c r="SM36" s="22"/>
      <c r="SN36" s="22"/>
      <c r="SO36" s="22"/>
      <c r="SP36" s="22"/>
      <c r="SQ36" s="22"/>
      <c r="SR36" s="22"/>
      <c r="SS36" s="22"/>
      <c r="ST36" s="22"/>
      <c r="SU36" s="22"/>
      <c r="SV36" s="22"/>
      <c r="SW36" s="22"/>
      <c r="SX36" s="22"/>
      <c r="SY36" s="22"/>
      <c r="SZ36" s="22"/>
      <c r="TA36" s="22"/>
      <c r="TB36" s="22"/>
      <c r="TC36" s="22"/>
      <c r="TD36" s="22"/>
      <c r="TE36" s="22"/>
      <c r="TF36" s="22"/>
      <c r="TG36" s="22"/>
      <c r="TH36" s="22"/>
      <c r="TI36" s="22"/>
      <c r="TJ36" s="22"/>
      <c r="TK36" s="22"/>
      <c r="TL36" s="22"/>
      <c r="TM36" s="22"/>
      <c r="TN36" s="22"/>
      <c r="TO36" s="22"/>
      <c r="TP36" s="22"/>
      <c r="TQ36" s="22"/>
      <c r="TR36" s="22"/>
      <c r="TS36" s="22"/>
      <c r="TT36" s="22"/>
      <c r="TU36" s="22"/>
      <c r="TV36" s="22"/>
      <c r="TW36" s="22"/>
      <c r="TX36" s="22"/>
      <c r="TY36" s="22"/>
      <c r="TZ36" s="22"/>
      <c r="UA36" s="22"/>
      <c r="UB36" s="22"/>
      <c r="UC36" s="22"/>
      <c r="UD36" s="22"/>
      <c r="UE36" s="22"/>
      <c r="UF36" s="22"/>
      <c r="UG36" s="22"/>
      <c r="UH36" s="22"/>
      <c r="UI36" s="22"/>
      <c r="UJ36" s="22"/>
      <c r="UK36" s="22"/>
      <c r="UL36" s="22"/>
      <c r="UM36" s="22"/>
      <c r="UN36" s="22"/>
      <c r="UO36" s="22"/>
      <c r="UP36" s="22"/>
      <c r="UQ36" s="22"/>
      <c r="UR36" s="22"/>
      <c r="US36" s="22"/>
      <c r="UT36" s="22"/>
      <c r="UU36" s="22"/>
      <c r="UV36" s="22"/>
      <c r="UW36" s="22"/>
      <c r="UX36" s="22"/>
      <c r="UY36" s="22"/>
      <c r="UZ36" s="22"/>
      <c r="VA36" s="22"/>
      <c r="VB36" s="22"/>
      <c r="VC36" s="22"/>
      <c r="VD36" s="22"/>
      <c r="VE36" s="22"/>
      <c r="VF36" s="22"/>
      <c r="VG36" s="22"/>
      <c r="VH36" s="22"/>
      <c r="VI36" s="22"/>
      <c r="VJ36" s="22"/>
      <c r="VK36" s="22"/>
      <c r="VL36" s="22"/>
      <c r="VM36" s="22"/>
      <c r="VN36" s="22"/>
      <c r="VO36" s="22"/>
      <c r="VP36" s="22"/>
      <c r="VQ36" s="22"/>
      <c r="VR36" s="22"/>
      <c r="VS36" s="22"/>
      <c r="VT36" s="22"/>
      <c r="VU36" s="22"/>
      <c r="VV36" s="22"/>
      <c r="VW36" s="22"/>
      <c r="VX36" s="22"/>
      <c r="VY36" s="22"/>
      <c r="VZ36" s="22"/>
      <c r="WA36" s="22"/>
      <c r="WB36" s="22"/>
      <c r="WC36" s="22"/>
      <c r="WD36" s="22"/>
      <c r="WE36" s="22"/>
      <c r="WF36" s="22"/>
      <c r="WG36" s="22"/>
      <c r="WH36" s="22"/>
      <c r="WI36" s="22"/>
      <c r="WJ36" s="22"/>
      <c r="WK36" s="22"/>
      <c r="WL36" s="22"/>
      <c r="WM36" s="22"/>
      <c r="WN36" s="22"/>
      <c r="WO36" s="22"/>
      <c r="WP36" s="22"/>
      <c r="WQ36" s="22"/>
      <c r="WR36" s="22"/>
      <c r="WS36" s="22"/>
      <c r="WT36" s="22"/>
      <c r="WU36" s="22"/>
      <c r="WV36" s="22"/>
      <c r="WW36" s="22"/>
      <c r="WX36" s="22"/>
      <c r="WY36" s="22"/>
      <c r="WZ36" s="22"/>
      <c r="XA36" s="22"/>
      <c r="XB36" s="22"/>
      <c r="XC36" s="22"/>
      <c r="XD36" s="22"/>
      <c r="XE36" s="22"/>
      <c r="XF36" s="22"/>
      <c r="XG36" s="22"/>
      <c r="XH36" s="22"/>
      <c r="XI36" s="22"/>
      <c r="XJ36" s="22"/>
      <c r="XK36" s="22"/>
      <c r="XL36" s="22"/>
      <c r="XM36" s="22"/>
      <c r="XN36" s="22"/>
      <c r="XO36" s="22"/>
      <c r="XP36" s="22"/>
      <c r="XQ36" s="22"/>
      <c r="XR36" s="22"/>
      <c r="XS36" s="22"/>
      <c r="XT36" s="22"/>
      <c r="XU36" s="22"/>
      <c r="XV36" s="22"/>
      <c r="XW36" s="22"/>
      <c r="XX36" s="22"/>
      <c r="XY36" s="22"/>
      <c r="XZ36" s="22"/>
      <c r="YA36" s="22"/>
      <c r="YB36" s="22"/>
      <c r="YC36" s="22"/>
      <c r="YD36" s="22"/>
      <c r="YE36" s="22"/>
      <c r="YF36" s="22"/>
      <c r="YG36" s="22"/>
      <c r="YH36" s="22"/>
      <c r="YI36" s="22"/>
      <c r="YJ36" s="22"/>
      <c r="YK36" s="22"/>
      <c r="YL36" s="22"/>
      <c r="YM36" s="22"/>
      <c r="YN36" s="22"/>
      <c r="YO36" s="22"/>
      <c r="YP36" s="22"/>
      <c r="YQ36" s="22"/>
      <c r="YR36" s="22"/>
      <c r="YS36" s="22"/>
      <c r="YT36" s="22"/>
      <c r="YU36" s="22"/>
      <c r="YV36" s="22"/>
      <c r="YW36" s="22"/>
      <c r="YX36" s="22"/>
      <c r="YY36" s="22"/>
      <c r="YZ36" s="22"/>
      <c r="ZA36" s="22"/>
      <c r="ZB36" s="22"/>
      <c r="ZC36" s="22"/>
      <c r="ZD36" s="22"/>
      <c r="ZE36" s="22"/>
      <c r="ZF36" s="22"/>
      <c r="ZG36" s="22"/>
      <c r="ZH36" s="22"/>
      <c r="ZI36" s="22"/>
      <c r="ZJ36" s="22"/>
      <c r="ZK36" s="22"/>
      <c r="ZL36" s="22"/>
      <c r="ZM36" s="22"/>
      <c r="ZN36" s="22"/>
      <c r="ZO36" s="22"/>
      <c r="ZP36" s="22"/>
      <c r="ZQ36" s="22"/>
      <c r="ZR36" s="22"/>
      <c r="ZS36" s="22"/>
      <c r="ZT36" s="22"/>
      <c r="ZU36" s="22"/>
      <c r="ZV36" s="22"/>
      <c r="ZW36" s="22"/>
      <c r="ZX36" s="22"/>
      <c r="ZY36" s="22"/>
      <c r="ZZ36" s="22"/>
      <c r="AAA36" s="22"/>
      <c r="AAB36" s="22"/>
      <c r="AAC36" s="22"/>
      <c r="AAD36" s="22"/>
      <c r="AAE36" s="22"/>
      <c r="AAF36" s="22"/>
      <c r="AAG36" s="22"/>
      <c r="AAH36" s="22"/>
      <c r="AAI36" s="22"/>
      <c r="AAJ36" s="22"/>
      <c r="AAK36" s="22"/>
      <c r="AAL36" s="22"/>
      <c r="AAM36" s="22"/>
      <c r="AAN36" s="22"/>
      <c r="AAO36" s="22"/>
      <c r="AAP36" s="22"/>
      <c r="AAQ36" s="22"/>
      <c r="AAR36" s="22"/>
      <c r="AAS36" s="22"/>
      <c r="AAT36" s="22"/>
      <c r="AAU36" s="22"/>
      <c r="AAV36" s="22"/>
      <c r="AAW36" s="22"/>
      <c r="AAX36" s="22"/>
      <c r="AAY36" s="22"/>
      <c r="AAZ36" s="22"/>
      <c r="ABA36" s="22"/>
      <c r="ABB36" s="22"/>
      <c r="ABC36" s="22"/>
    </row>
    <row r="37" spans="1:731" ht="15" customHeight="1" x14ac:dyDescent="0.3">
      <c r="A37" s="410"/>
      <c r="B37" s="426"/>
      <c r="C37" s="66"/>
      <c r="D37" s="9" t="s">
        <v>11</v>
      </c>
      <c r="E37" s="10" t="s">
        <v>47</v>
      </c>
      <c r="F37" s="11">
        <f t="shared" si="63"/>
        <v>48.808647896392827</v>
      </c>
      <c r="G37" s="16">
        <f t="shared" si="63"/>
        <v>52.667989846733782</v>
      </c>
      <c r="H37" s="52">
        <f t="shared" si="24"/>
        <v>-3.859341950340955</v>
      </c>
      <c r="I37" s="14">
        <f t="shared" si="1"/>
        <v>-7.3276803644335267E-2</v>
      </c>
      <c r="J37" s="33">
        <f>14570903.97/1000</f>
        <v>14570.903970000001</v>
      </c>
      <c r="K37" s="34">
        <f>15723037.9333333/1000</f>
        <v>15723.0379333333</v>
      </c>
      <c r="L37" s="52">
        <f t="shared" si="25"/>
        <v>-1152.1339633332991</v>
      </c>
      <c r="M37" s="14">
        <f t="shared" si="21"/>
        <v>-7.3276803644335253E-2</v>
      </c>
      <c r="N37" s="15">
        <f>14327365.97/1000</f>
        <v>14327.365970000001</v>
      </c>
      <c r="O37" s="16">
        <f>15465087.8633333/1000</f>
        <v>15465.0878633333</v>
      </c>
      <c r="P37" s="52">
        <f t="shared" si="26"/>
        <v>-1137.7218933332988</v>
      </c>
      <c r="Q37" s="14">
        <f t="shared" si="2"/>
        <v>-7.3567114741763751E-2</v>
      </c>
      <c r="R37" s="57"/>
      <c r="S37" s="58"/>
      <c r="T37" s="52">
        <f t="shared" si="27"/>
        <v>0</v>
      </c>
      <c r="U37" s="14" t="str">
        <f t="shared" si="30"/>
        <v/>
      </c>
      <c r="V37" s="57">
        <f>19353881/1000</f>
        <v>19353.881000000001</v>
      </c>
      <c r="W37" s="58">
        <f>6491567.37100445/1000</f>
        <v>6491.5673710044503</v>
      </c>
      <c r="X37" s="52">
        <f t="shared" si="28"/>
        <v>12862.313628995551</v>
      </c>
      <c r="Y37" s="14">
        <f t="shared" si="4"/>
        <v>1.9813879905871401</v>
      </c>
      <c r="Z37" s="18">
        <f>-5026515.03/1000</f>
        <v>-5026.5150300000005</v>
      </c>
      <c r="AA37" s="58">
        <f>8973520.49232889/1000</f>
        <v>8973.5204923288893</v>
      </c>
      <c r="AB37" s="52">
        <f t="shared" si="29"/>
        <v>-14000.03552232889</v>
      </c>
      <c r="AC37" s="19">
        <f t="shared" si="5"/>
        <v>-1.5601497243246918</v>
      </c>
      <c r="AD37" s="126">
        <v>0</v>
      </c>
      <c r="AE37" s="140">
        <v>0</v>
      </c>
      <c r="AF37" s="108">
        <f t="shared" si="6"/>
        <v>0</v>
      </c>
      <c r="AG37" s="113">
        <v>0</v>
      </c>
      <c r="AH37" s="142">
        <f>33603.5999999999/1000</f>
        <v>33.603599999999894</v>
      </c>
      <c r="AI37" s="128">
        <v>0</v>
      </c>
      <c r="AJ37" s="108">
        <f t="shared" si="8"/>
        <v>33.603599999999894</v>
      </c>
      <c r="AK37" s="19">
        <v>0</v>
      </c>
      <c r="AL37" s="144">
        <f>-4992911.43/1000</f>
        <v>-4992.9114300000001</v>
      </c>
      <c r="AM37" s="133">
        <f>8973520.49232889/1000</f>
        <v>8973.5204923288893</v>
      </c>
      <c r="AN37" s="13">
        <f t="shared" si="9"/>
        <v>-13966.431922328889</v>
      </c>
      <c r="AO37" s="19">
        <f t="shared" si="10"/>
        <v>-1.5564049733065461</v>
      </c>
      <c r="AP37" s="428"/>
      <c r="AQ37" s="22"/>
      <c r="AR37" s="1">
        <f t="shared" si="11"/>
        <v>0</v>
      </c>
      <c r="AS37" s="1">
        <f t="shared" si="12"/>
        <v>-4.0017766878008842E-11</v>
      </c>
      <c r="AT37" s="1">
        <f t="shared" si="13"/>
        <v>0</v>
      </c>
      <c r="AU37" s="1">
        <f t="shared" si="14"/>
        <v>0</v>
      </c>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row>
    <row r="38" spans="1:731" ht="15" customHeight="1" x14ac:dyDescent="0.3">
      <c r="A38" s="410"/>
      <c r="B38" s="426"/>
      <c r="C38" s="66"/>
      <c r="D38" s="9" t="s">
        <v>11</v>
      </c>
      <c r="E38" s="10" t="s">
        <v>48</v>
      </c>
      <c r="F38" s="11">
        <f t="shared" si="63"/>
        <v>0</v>
      </c>
      <c r="G38" s="16">
        <f t="shared" si="63"/>
        <v>0</v>
      </c>
      <c r="H38" s="52">
        <f t="shared" si="24"/>
        <v>0</v>
      </c>
      <c r="I38" s="14" t="str">
        <f t="shared" si="1"/>
        <v/>
      </c>
      <c r="J38" s="33">
        <v>0</v>
      </c>
      <c r="K38" s="34">
        <v>0</v>
      </c>
      <c r="L38" s="52">
        <f t="shared" si="25"/>
        <v>0</v>
      </c>
      <c r="M38" s="14" t="str">
        <f t="shared" si="21"/>
        <v/>
      </c>
      <c r="N38" s="15">
        <f>3193825/1000</f>
        <v>3193.8249999999998</v>
      </c>
      <c r="O38" s="16">
        <v>0</v>
      </c>
      <c r="P38" s="52">
        <f t="shared" si="26"/>
        <v>3193.8249999999998</v>
      </c>
      <c r="Q38" s="14" t="str">
        <f t="shared" si="2"/>
        <v/>
      </c>
      <c r="R38" s="57"/>
      <c r="S38" s="58"/>
      <c r="T38" s="52">
        <f t="shared" si="27"/>
        <v>0</v>
      </c>
      <c r="U38" s="14" t="str">
        <f t="shared" si="30"/>
        <v/>
      </c>
      <c r="V38" s="57">
        <f>543693/1000</f>
        <v>543.69299999999998</v>
      </c>
      <c r="W38" s="58">
        <v>0</v>
      </c>
      <c r="X38" s="52">
        <f t="shared" si="28"/>
        <v>543.69299999999998</v>
      </c>
      <c r="Y38" s="14" t="str">
        <f t="shared" si="4"/>
        <v/>
      </c>
      <c r="Z38" s="57">
        <f>2650132/1000</f>
        <v>2650.1320000000001</v>
      </c>
      <c r="AA38" s="58">
        <v>0</v>
      </c>
      <c r="AB38" s="52">
        <f t="shared" si="29"/>
        <v>2650.1320000000001</v>
      </c>
      <c r="AC38" s="19">
        <v>0</v>
      </c>
      <c r="AD38" s="126">
        <v>0</v>
      </c>
      <c r="AE38" s="140">
        <v>0</v>
      </c>
      <c r="AF38" s="108">
        <f t="shared" si="6"/>
        <v>0</v>
      </c>
      <c r="AG38" s="113">
        <v>0</v>
      </c>
      <c r="AH38" s="141">
        <v>0</v>
      </c>
      <c r="AI38" s="127">
        <v>0</v>
      </c>
      <c r="AJ38" s="108">
        <f t="shared" si="8"/>
        <v>0</v>
      </c>
      <c r="AK38" s="19">
        <v>0</v>
      </c>
      <c r="AL38" s="142">
        <f>Z38</f>
        <v>2650.1320000000001</v>
      </c>
      <c r="AM38" s="135">
        <v>0</v>
      </c>
      <c r="AN38" s="13">
        <f t="shared" si="9"/>
        <v>2650.1320000000001</v>
      </c>
      <c r="AO38" s="19">
        <v>0</v>
      </c>
      <c r="AP38" s="429"/>
      <c r="AQ38" s="22"/>
      <c r="AR38" s="1">
        <f t="shared" si="11"/>
        <v>0</v>
      </c>
      <c r="AS38" s="1">
        <f t="shared" si="12"/>
        <v>0</v>
      </c>
      <c r="AT38" s="1">
        <f t="shared" si="13"/>
        <v>0</v>
      </c>
      <c r="AU38" s="1">
        <f t="shared" si="14"/>
        <v>0</v>
      </c>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c r="GP38" s="22"/>
      <c r="GQ38" s="22"/>
      <c r="GR38" s="22"/>
      <c r="GS38" s="22"/>
      <c r="GT38" s="22"/>
      <c r="GU38" s="22"/>
      <c r="GV38" s="22"/>
      <c r="GW38" s="22"/>
      <c r="GX38" s="22"/>
      <c r="GY38" s="22"/>
      <c r="GZ38" s="22"/>
      <c r="HA38" s="22"/>
      <c r="HB38" s="22"/>
      <c r="HC38" s="22"/>
      <c r="HD38" s="22"/>
      <c r="HE38" s="22"/>
      <c r="HF38" s="22"/>
      <c r="HG38" s="22"/>
      <c r="HH38" s="22"/>
      <c r="HI38" s="22"/>
      <c r="HJ38" s="22"/>
      <c r="HK38" s="22"/>
      <c r="HL38" s="22"/>
      <c r="HM38" s="22"/>
      <c r="HN38" s="22"/>
      <c r="HO38" s="22"/>
      <c r="HP38" s="22"/>
      <c r="HQ38" s="22"/>
      <c r="HR38" s="22"/>
      <c r="HS38" s="22"/>
      <c r="HT38" s="22"/>
      <c r="HU38" s="22"/>
      <c r="HV38" s="22"/>
      <c r="HW38" s="22"/>
      <c r="HX38" s="22"/>
      <c r="HY38" s="22"/>
      <c r="HZ38" s="22"/>
      <c r="IA38" s="22"/>
      <c r="IB38" s="22"/>
      <c r="IC38" s="22"/>
      <c r="ID38" s="22"/>
      <c r="IE38" s="22"/>
      <c r="IF38" s="22"/>
      <c r="IG38" s="22"/>
      <c r="IH38" s="22"/>
      <c r="II38" s="22"/>
      <c r="IJ38" s="22"/>
      <c r="IK38" s="22"/>
      <c r="IL38" s="22"/>
      <c r="IM38" s="22"/>
      <c r="IN38" s="22"/>
      <c r="IO38" s="22"/>
      <c r="IP38" s="22"/>
      <c r="IQ38" s="22"/>
      <c r="IR38" s="22"/>
      <c r="IS38" s="22"/>
      <c r="IT38" s="22"/>
      <c r="IU38" s="22"/>
      <c r="IV38" s="22"/>
      <c r="IW38" s="22"/>
      <c r="IX38" s="22"/>
      <c r="IY38" s="22"/>
      <c r="IZ38" s="22"/>
      <c r="JA38" s="22"/>
      <c r="JB38" s="22"/>
      <c r="JC38" s="22"/>
      <c r="JD38" s="22"/>
      <c r="JE38" s="22"/>
      <c r="JJ38" s="22"/>
      <c r="JK38" s="22"/>
      <c r="JL38" s="22"/>
      <c r="JM38" s="22"/>
      <c r="JN38" s="22"/>
      <c r="JO38" s="22"/>
      <c r="JP38" s="22"/>
      <c r="JQ38" s="22"/>
      <c r="JR38" s="22"/>
      <c r="JS38" s="22"/>
      <c r="JT38" s="22"/>
      <c r="JU38" s="22"/>
      <c r="JV38" s="22"/>
      <c r="JW38" s="22"/>
      <c r="JX38" s="22"/>
      <c r="JY38" s="22"/>
      <c r="JZ38" s="22"/>
      <c r="KA38" s="22"/>
      <c r="KB38" s="22"/>
      <c r="KC38" s="22"/>
      <c r="KD38" s="22"/>
      <c r="KE38" s="22"/>
      <c r="KF38" s="22"/>
      <c r="KG38" s="22"/>
      <c r="KH38" s="22"/>
      <c r="KI38" s="22"/>
      <c r="KJ38" s="22"/>
      <c r="KK38" s="22"/>
      <c r="KL38" s="22"/>
      <c r="KM38" s="22"/>
      <c r="KN38" s="22"/>
      <c r="KO38" s="22"/>
      <c r="KP38" s="22"/>
      <c r="KQ38" s="22"/>
      <c r="KR38" s="22"/>
      <c r="KS38" s="22"/>
      <c r="KT38" s="22"/>
      <c r="KU38" s="22"/>
      <c r="KV38" s="22"/>
      <c r="KW38" s="22"/>
      <c r="KX38" s="22"/>
      <c r="KY38" s="22"/>
      <c r="KZ38" s="22"/>
      <c r="LA38" s="22"/>
      <c r="LB38" s="22"/>
      <c r="LC38" s="22"/>
      <c r="LD38" s="22"/>
      <c r="LE38" s="22"/>
      <c r="LF38" s="22"/>
      <c r="LG38" s="22"/>
      <c r="LH38" s="22"/>
      <c r="LI38" s="22"/>
      <c r="LJ38" s="22"/>
      <c r="LK38" s="22"/>
      <c r="LL38" s="22"/>
      <c r="LM38" s="22"/>
      <c r="LN38" s="22"/>
      <c r="LO38" s="22"/>
      <c r="LP38" s="22"/>
      <c r="LQ38" s="22"/>
      <c r="LR38" s="22"/>
      <c r="LS38" s="22"/>
      <c r="LT38" s="22"/>
      <c r="LU38" s="22"/>
      <c r="LV38" s="22"/>
      <c r="LW38" s="22"/>
      <c r="LX38" s="22"/>
      <c r="LY38" s="22"/>
      <c r="LZ38" s="22"/>
      <c r="MA38" s="22"/>
      <c r="MB38" s="22"/>
      <c r="MC38" s="22"/>
      <c r="MD38" s="22"/>
      <c r="ME38" s="22"/>
      <c r="MF38" s="22"/>
      <c r="MG38" s="22"/>
      <c r="MH38" s="22"/>
      <c r="MI38" s="22"/>
      <c r="MJ38" s="22"/>
      <c r="MK38" s="22"/>
      <c r="ML38" s="22"/>
      <c r="MM38" s="22"/>
      <c r="MN38" s="22"/>
      <c r="MO38" s="22"/>
      <c r="MP38" s="22"/>
      <c r="MQ38" s="22"/>
      <c r="MR38" s="22"/>
      <c r="MS38" s="22"/>
      <c r="MT38" s="22"/>
      <c r="MU38" s="22"/>
      <c r="MV38" s="22"/>
      <c r="MW38" s="22"/>
      <c r="MX38" s="22"/>
      <c r="MY38" s="22"/>
      <c r="MZ38" s="22"/>
      <c r="NA38" s="22"/>
      <c r="NB38" s="22"/>
      <c r="NC38" s="22"/>
      <c r="ND38" s="22"/>
      <c r="NE38" s="22"/>
      <c r="NF38" s="22"/>
      <c r="NG38" s="22"/>
      <c r="NH38" s="22"/>
      <c r="NI38" s="22"/>
      <c r="NJ38" s="22"/>
      <c r="NK38" s="22"/>
      <c r="NL38" s="22"/>
      <c r="NM38" s="22"/>
      <c r="NN38" s="22"/>
      <c r="NO38" s="22"/>
      <c r="NP38" s="22"/>
      <c r="NQ38" s="22"/>
      <c r="NR38" s="22"/>
      <c r="NS38" s="22"/>
      <c r="NT38" s="22"/>
      <c r="NU38" s="22"/>
      <c r="NV38" s="22"/>
      <c r="NW38" s="22"/>
      <c r="NX38" s="22"/>
      <c r="NY38" s="22"/>
      <c r="NZ38" s="22"/>
      <c r="OA38" s="22"/>
      <c r="OB38" s="22"/>
      <c r="OC38" s="22"/>
      <c r="OD38" s="22"/>
      <c r="OE38" s="22"/>
      <c r="OF38" s="22"/>
      <c r="OG38" s="22"/>
      <c r="OH38" s="22"/>
      <c r="OI38" s="22"/>
      <c r="OJ38" s="22"/>
      <c r="OK38" s="22"/>
      <c r="OL38" s="22"/>
      <c r="OM38" s="22"/>
      <c r="ON38" s="22"/>
      <c r="OO38" s="22"/>
      <c r="OP38" s="22"/>
      <c r="OQ38" s="22"/>
      <c r="OR38" s="22"/>
      <c r="OS38" s="22"/>
      <c r="OT38" s="22"/>
      <c r="OU38" s="22"/>
      <c r="OV38" s="22"/>
      <c r="OW38" s="22"/>
      <c r="OX38" s="22"/>
      <c r="OY38" s="22"/>
      <c r="OZ38" s="22"/>
      <c r="PA38" s="22"/>
      <c r="PB38" s="22"/>
      <c r="PC38" s="22"/>
      <c r="PD38" s="22"/>
      <c r="PE38" s="22"/>
      <c r="PF38" s="22"/>
      <c r="PG38" s="22"/>
      <c r="PH38" s="22"/>
      <c r="PI38" s="22"/>
      <c r="PJ38" s="22"/>
      <c r="PK38" s="22"/>
      <c r="PL38" s="22"/>
      <c r="PM38" s="22"/>
      <c r="PN38" s="22"/>
      <c r="PO38" s="22"/>
      <c r="PP38" s="22"/>
      <c r="PQ38" s="22"/>
      <c r="PR38" s="22"/>
      <c r="PS38" s="22"/>
      <c r="PT38" s="22"/>
      <c r="PU38" s="22"/>
      <c r="PV38" s="22"/>
      <c r="PW38" s="22"/>
      <c r="PX38" s="22"/>
      <c r="PY38" s="22"/>
      <c r="PZ38" s="22"/>
      <c r="QA38" s="22"/>
      <c r="QB38" s="22"/>
      <c r="QC38" s="22"/>
      <c r="QD38" s="22"/>
      <c r="QE38" s="22"/>
      <c r="QF38" s="22"/>
      <c r="QG38" s="22"/>
      <c r="QH38" s="22"/>
      <c r="QI38" s="22"/>
      <c r="QJ38" s="22"/>
      <c r="QK38" s="22"/>
      <c r="QL38" s="22"/>
      <c r="QM38" s="22"/>
      <c r="QN38" s="22"/>
      <c r="QO38" s="22"/>
      <c r="QP38" s="22"/>
      <c r="QQ38" s="22"/>
      <c r="QR38" s="22"/>
      <c r="QS38" s="22"/>
      <c r="QT38" s="22"/>
      <c r="QU38" s="22"/>
      <c r="QV38" s="22"/>
      <c r="QW38" s="22"/>
      <c r="QX38" s="22"/>
      <c r="QY38" s="22"/>
      <c r="QZ38" s="22"/>
      <c r="RA38" s="22"/>
      <c r="RB38" s="22"/>
      <c r="RC38" s="22"/>
      <c r="RD38" s="22"/>
      <c r="RE38" s="22"/>
      <c r="RF38" s="22"/>
      <c r="RG38" s="22"/>
      <c r="RH38" s="22"/>
      <c r="RI38" s="22"/>
      <c r="RJ38" s="22"/>
      <c r="RK38" s="22"/>
      <c r="RL38" s="22"/>
      <c r="RM38" s="22"/>
      <c r="RN38" s="22"/>
      <c r="RO38" s="22"/>
      <c r="RP38" s="22"/>
      <c r="RQ38" s="22"/>
      <c r="RR38" s="22"/>
      <c r="RS38" s="22"/>
      <c r="RT38" s="22"/>
      <c r="RU38" s="22"/>
      <c r="RV38" s="22"/>
      <c r="RW38" s="22"/>
      <c r="RX38" s="22"/>
      <c r="RY38" s="22"/>
      <c r="RZ38" s="22"/>
      <c r="SA38" s="22"/>
      <c r="SB38" s="22"/>
      <c r="SC38" s="22"/>
      <c r="SD38" s="22"/>
      <c r="SE38" s="22"/>
      <c r="SF38" s="22"/>
      <c r="SG38" s="22"/>
      <c r="SH38" s="22"/>
      <c r="SI38" s="22"/>
      <c r="SJ38" s="22"/>
      <c r="SK38" s="22"/>
      <c r="SL38" s="22"/>
      <c r="SM38" s="22"/>
      <c r="SN38" s="22"/>
      <c r="SO38" s="22"/>
      <c r="SP38" s="22"/>
      <c r="SQ38" s="22"/>
      <c r="SR38" s="22"/>
      <c r="SS38" s="22"/>
      <c r="ST38" s="22"/>
      <c r="SU38" s="22"/>
      <c r="SV38" s="22"/>
      <c r="SW38" s="22"/>
      <c r="SX38" s="22"/>
      <c r="SY38" s="22"/>
      <c r="SZ38" s="22"/>
      <c r="TA38" s="22"/>
      <c r="TB38" s="22"/>
      <c r="TC38" s="22"/>
      <c r="TD38" s="22"/>
      <c r="TE38" s="22"/>
      <c r="TF38" s="22"/>
      <c r="TG38" s="22"/>
      <c r="TH38" s="22"/>
      <c r="TI38" s="22"/>
      <c r="TJ38" s="22"/>
      <c r="TK38" s="22"/>
      <c r="TL38" s="22"/>
      <c r="TM38" s="22"/>
      <c r="TN38" s="22"/>
      <c r="TO38" s="22"/>
      <c r="TP38" s="22"/>
      <c r="TQ38" s="22"/>
      <c r="TR38" s="22"/>
      <c r="TS38" s="22"/>
      <c r="TT38" s="22"/>
      <c r="TU38" s="22"/>
      <c r="TV38" s="22"/>
      <c r="TW38" s="22"/>
      <c r="TX38" s="22"/>
      <c r="TY38" s="22"/>
      <c r="TZ38" s="22"/>
      <c r="UA38" s="22"/>
      <c r="UB38" s="22"/>
      <c r="UC38" s="22"/>
      <c r="UD38" s="22"/>
      <c r="UE38" s="22"/>
      <c r="UF38" s="22"/>
      <c r="UG38" s="22"/>
      <c r="UH38" s="22"/>
      <c r="UI38" s="22"/>
      <c r="UJ38" s="22"/>
      <c r="UK38" s="22"/>
      <c r="UL38" s="22"/>
      <c r="UM38" s="22"/>
      <c r="UN38" s="22"/>
      <c r="UO38" s="22"/>
      <c r="UP38" s="22"/>
      <c r="UQ38" s="22"/>
      <c r="UR38" s="22"/>
      <c r="US38" s="22"/>
      <c r="UT38" s="22"/>
      <c r="UU38" s="22"/>
      <c r="UV38" s="22"/>
      <c r="UW38" s="22"/>
      <c r="UX38" s="22"/>
      <c r="UY38" s="22"/>
      <c r="UZ38" s="22"/>
      <c r="VA38" s="22"/>
      <c r="VB38" s="22"/>
      <c r="VC38" s="22"/>
      <c r="VD38" s="22"/>
      <c r="VE38" s="22"/>
      <c r="VF38" s="22"/>
      <c r="VG38" s="22"/>
      <c r="VH38" s="22"/>
      <c r="VI38" s="22"/>
      <c r="VJ38" s="22"/>
      <c r="VK38" s="22"/>
      <c r="VL38" s="22"/>
      <c r="VM38" s="22"/>
      <c r="VN38" s="22"/>
      <c r="VO38" s="22"/>
      <c r="VP38" s="22"/>
      <c r="VQ38" s="22"/>
      <c r="VR38" s="22"/>
      <c r="VS38" s="22"/>
      <c r="VT38" s="22"/>
      <c r="VU38" s="22"/>
      <c r="VV38" s="22"/>
      <c r="VW38" s="22"/>
      <c r="VX38" s="22"/>
      <c r="VY38" s="22"/>
      <c r="VZ38" s="22"/>
      <c r="WA38" s="22"/>
      <c r="WB38" s="22"/>
      <c r="WC38" s="22"/>
      <c r="WD38" s="22"/>
      <c r="WE38" s="22"/>
      <c r="WF38" s="22"/>
      <c r="WG38" s="22"/>
      <c r="WH38" s="22"/>
      <c r="WI38" s="22"/>
      <c r="WJ38" s="22"/>
      <c r="WK38" s="22"/>
      <c r="WL38" s="22"/>
      <c r="WM38" s="22"/>
      <c r="WN38" s="22"/>
      <c r="WO38" s="22"/>
      <c r="WP38" s="22"/>
      <c r="WQ38" s="22"/>
      <c r="WR38" s="22"/>
      <c r="WS38" s="22"/>
      <c r="WT38" s="22"/>
      <c r="WU38" s="22"/>
      <c r="WV38" s="22"/>
      <c r="WW38" s="22"/>
      <c r="WX38" s="22"/>
      <c r="WY38" s="22"/>
      <c r="WZ38" s="22"/>
      <c r="XA38" s="22"/>
      <c r="XB38" s="22"/>
      <c r="XC38" s="22"/>
      <c r="XD38" s="22"/>
      <c r="XE38" s="22"/>
      <c r="XF38" s="22"/>
      <c r="XG38" s="22"/>
      <c r="XH38" s="22"/>
      <c r="XI38" s="22"/>
      <c r="XJ38" s="22"/>
      <c r="XK38" s="22"/>
      <c r="XL38" s="22"/>
      <c r="XM38" s="22"/>
      <c r="XN38" s="22"/>
      <c r="XO38" s="22"/>
      <c r="XP38" s="22"/>
      <c r="XQ38" s="22"/>
      <c r="XR38" s="22"/>
      <c r="XS38" s="22"/>
      <c r="XT38" s="22"/>
      <c r="XU38" s="22"/>
      <c r="XV38" s="22"/>
      <c r="XW38" s="22"/>
      <c r="XX38" s="22"/>
      <c r="XY38" s="22"/>
      <c r="XZ38" s="22"/>
      <c r="YA38" s="22"/>
      <c r="YB38" s="22"/>
      <c r="YC38" s="22"/>
      <c r="YD38" s="22"/>
      <c r="YE38" s="22"/>
      <c r="YF38" s="22"/>
      <c r="YG38" s="22"/>
      <c r="YH38" s="22"/>
      <c r="YI38" s="22"/>
      <c r="YJ38" s="22"/>
      <c r="YK38" s="22"/>
      <c r="YL38" s="22"/>
      <c r="YM38" s="22"/>
      <c r="YN38" s="22"/>
      <c r="YO38" s="22"/>
      <c r="YP38" s="22"/>
      <c r="YQ38" s="22"/>
      <c r="YR38" s="22"/>
      <c r="YS38" s="22"/>
      <c r="YT38" s="22"/>
      <c r="YU38" s="22"/>
      <c r="YV38" s="22"/>
      <c r="YW38" s="22"/>
      <c r="YX38" s="22"/>
      <c r="YY38" s="22"/>
      <c r="YZ38" s="22"/>
      <c r="ZA38" s="22"/>
      <c r="ZB38" s="22"/>
      <c r="ZC38" s="22"/>
      <c r="ZD38" s="22"/>
      <c r="ZE38" s="22"/>
      <c r="ZF38" s="22"/>
      <c r="ZG38" s="22"/>
      <c r="ZH38" s="22"/>
      <c r="ZI38" s="22"/>
      <c r="ZJ38" s="22"/>
      <c r="ZK38" s="22"/>
      <c r="ZL38" s="22"/>
      <c r="ZM38" s="22"/>
      <c r="ZN38" s="22"/>
      <c r="ZO38" s="22"/>
      <c r="ZP38" s="22"/>
      <c r="ZQ38" s="22"/>
      <c r="ZR38" s="22"/>
      <c r="ZS38" s="22"/>
      <c r="ZT38" s="22"/>
      <c r="ZU38" s="22"/>
      <c r="ZV38" s="22"/>
      <c r="ZW38" s="22"/>
      <c r="ZX38" s="22"/>
      <c r="ZY38" s="22"/>
      <c r="ZZ38" s="22"/>
      <c r="AAA38" s="22"/>
      <c r="AAB38" s="22"/>
      <c r="AAC38" s="22"/>
      <c r="AAD38" s="22"/>
      <c r="AAE38" s="22"/>
      <c r="AAF38" s="22"/>
      <c r="AAG38" s="22"/>
      <c r="AAH38" s="22"/>
      <c r="AAI38" s="22"/>
      <c r="AAJ38" s="22"/>
      <c r="AAK38" s="22"/>
      <c r="AAL38" s="22"/>
      <c r="AAM38" s="22"/>
      <c r="AAN38" s="22"/>
      <c r="AAO38" s="22"/>
      <c r="AAP38" s="22"/>
      <c r="AAQ38" s="22"/>
      <c r="AAR38" s="22"/>
      <c r="AAS38" s="22"/>
      <c r="AAT38" s="22"/>
      <c r="AAU38" s="22"/>
      <c r="AAV38" s="22"/>
      <c r="AAW38" s="22"/>
      <c r="AAX38" s="22"/>
      <c r="AAY38" s="22"/>
      <c r="AAZ38" s="22"/>
      <c r="ABA38" s="22"/>
      <c r="ABB38" s="22"/>
      <c r="ABC38" s="22"/>
    </row>
    <row r="39" spans="1:731" ht="15" customHeight="1" thickBot="1" x14ac:dyDescent="0.35">
      <c r="A39" s="411"/>
      <c r="B39" s="426"/>
      <c r="C39" s="66"/>
      <c r="D39" s="9" t="s">
        <v>11</v>
      </c>
      <c r="E39" s="10" t="s">
        <v>49</v>
      </c>
      <c r="F39" s="11">
        <f>J39/$F$2</f>
        <v>0</v>
      </c>
      <c r="G39" s="16">
        <f t="shared" si="63"/>
        <v>0</v>
      </c>
      <c r="H39" s="67">
        <v>0</v>
      </c>
      <c r="I39" s="14" t="str">
        <f t="shared" si="1"/>
        <v/>
      </c>
      <c r="J39" s="33"/>
      <c r="K39" s="34"/>
      <c r="L39" s="67">
        <v>0</v>
      </c>
      <c r="M39" s="14" t="str">
        <f t="shared" si="21"/>
        <v/>
      </c>
      <c r="N39" s="15"/>
      <c r="O39" s="16"/>
      <c r="P39" s="67">
        <v>0</v>
      </c>
      <c r="Q39" s="14" t="str">
        <f t="shared" si="2"/>
        <v/>
      </c>
      <c r="R39" s="57"/>
      <c r="S39" s="58"/>
      <c r="T39" s="67">
        <v>0</v>
      </c>
      <c r="U39" s="14" t="str">
        <f t="shared" si="30"/>
        <v/>
      </c>
      <c r="V39" s="57"/>
      <c r="W39" s="58"/>
      <c r="X39" s="67">
        <v>0</v>
      </c>
      <c r="Y39" s="14" t="str">
        <f t="shared" si="4"/>
        <v/>
      </c>
      <c r="Z39" s="57"/>
      <c r="AA39" s="58"/>
      <c r="AB39" s="67">
        <v>0</v>
      </c>
      <c r="AC39" s="19" t="str">
        <f t="shared" si="5"/>
        <v/>
      </c>
      <c r="AD39" s="137"/>
      <c r="AE39" s="138"/>
      <c r="AF39" s="108">
        <f t="shared" si="6"/>
        <v>0</v>
      </c>
      <c r="AG39" s="110" t="str">
        <f t="shared" si="7"/>
        <v/>
      </c>
      <c r="AH39" s="143"/>
      <c r="AI39" s="127"/>
      <c r="AJ39" s="108">
        <f t="shared" si="8"/>
        <v>0</v>
      </c>
      <c r="AK39" s="20" t="str">
        <f>IFERROR(IF(AI39&lt;0,-(AH39-AI39)/AI39,(AH39-AI39)/AI39),"")</f>
        <v/>
      </c>
      <c r="AL39" s="143"/>
      <c r="AM39" s="136"/>
      <c r="AN39" s="13">
        <f t="shared" si="9"/>
        <v>0</v>
      </c>
      <c r="AO39" s="19" t="str">
        <f t="shared" si="10"/>
        <v/>
      </c>
      <c r="AP39" s="122" t="s">
        <v>95</v>
      </c>
      <c r="AQ39" s="22"/>
      <c r="AR39" s="1">
        <f t="shared" si="11"/>
        <v>0</v>
      </c>
      <c r="AS39" s="1">
        <f t="shared" si="12"/>
        <v>0</v>
      </c>
      <c r="AT39" s="1">
        <f t="shared" si="13"/>
        <v>0</v>
      </c>
      <c r="AU39" s="1">
        <f t="shared" si="14"/>
        <v>0</v>
      </c>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c r="FT39" s="22"/>
      <c r="FU39" s="22"/>
      <c r="FV39" s="22"/>
      <c r="FW39" s="22"/>
      <c r="FX39" s="22"/>
      <c r="FY39" s="22"/>
      <c r="FZ39" s="22"/>
      <c r="GA39" s="22"/>
      <c r="GB39" s="22"/>
      <c r="GC39" s="22"/>
      <c r="GD39" s="22"/>
      <c r="GE39" s="22"/>
      <c r="GF39" s="22"/>
      <c r="GG39" s="22"/>
      <c r="GH39" s="22"/>
      <c r="GI39" s="22"/>
      <c r="GJ39" s="22"/>
      <c r="GK39" s="22"/>
      <c r="GL39" s="22"/>
      <c r="GM39" s="22"/>
      <c r="GN39" s="22"/>
      <c r="GO39" s="22"/>
      <c r="GP39" s="22"/>
      <c r="GQ39" s="22"/>
      <c r="GR39" s="22"/>
      <c r="GS39" s="22"/>
      <c r="GT39" s="22"/>
      <c r="GU39" s="22"/>
      <c r="GV39" s="22"/>
      <c r="GW39" s="22"/>
      <c r="GX39" s="22"/>
      <c r="GY39" s="22"/>
      <c r="GZ39" s="22"/>
      <c r="HA39" s="22"/>
      <c r="HB39" s="22"/>
      <c r="HC39" s="22"/>
      <c r="HD39" s="22"/>
      <c r="HE39" s="22"/>
      <c r="HF39" s="22"/>
      <c r="HG39" s="22"/>
      <c r="HH39" s="22"/>
      <c r="HI39" s="22"/>
      <c r="HJ39" s="22"/>
      <c r="HK39" s="22"/>
      <c r="HL39" s="22"/>
      <c r="HM39" s="22"/>
      <c r="HN39" s="22"/>
      <c r="HO39" s="22"/>
      <c r="HP39" s="22"/>
      <c r="HQ39" s="22"/>
      <c r="HR39" s="22"/>
      <c r="HS39" s="22"/>
      <c r="HT39" s="22"/>
      <c r="HU39" s="22"/>
      <c r="HV39" s="22"/>
      <c r="HW39" s="22"/>
      <c r="HX39" s="22"/>
      <c r="HY39" s="22"/>
      <c r="HZ39" s="22"/>
      <c r="IA39" s="22"/>
      <c r="IB39" s="22"/>
      <c r="IC39" s="22"/>
      <c r="ID39" s="22"/>
      <c r="IE39" s="22"/>
      <c r="IF39" s="22"/>
      <c r="IG39" s="22"/>
      <c r="IH39" s="22"/>
      <c r="II39" s="22"/>
      <c r="IJ39" s="22"/>
      <c r="IK39" s="22"/>
      <c r="IL39" s="22"/>
      <c r="IM39" s="22"/>
      <c r="IN39" s="22"/>
      <c r="IO39" s="22"/>
      <c r="IP39" s="22"/>
      <c r="IQ39" s="22"/>
      <c r="IR39" s="22"/>
      <c r="IS39" s="22"/>
      <c r="IT39" s="22"/>
      <c r="IU39" s="22"/>
      <c r="IV39" s="22"/>
      <c r="IW39" s="22"/>
      <c r="IX39" s="22"/>
      <c r="IY39" s="22"/>
      <c r="IZ39" s="22"/>
      <c r="JA39" s="22"/>
      <c r="JB39" s="22"/>
      <c r="JC39" s="22"/>
      <c r="JD39" s="22"/>
      <c r="JE39" s="22"/>
      <c r="JJ39" s="22"/>
      <c r="JK39" s="22"/>
      <c r="JL39" s="22"/>
      <c r="JM39" s="22"/>
      <c r="JN39" s="22"/>
      <c r="JO39" s="22"/>
      <c r="JP39" s="22"/>
      <c r="JQ39" s="22"/>
      <c r="JR39" s="22"/>
      <c r="JS39" s="22"/>
      <c r="JT39" s="22"/>
      <c r="JU39" s="22"/>
      <c r="JV39" s="22"/>
      <c r="JW39" s="22"/>
      <c r="JX39" s="22"/>
      <c r="JY39" s="22"/>
      <c r="JZ39" s="22"/>
      <c r="KA39" s="22"/>
      <c r="KB39" s="22"/>
      <c r="KC39" s="22"/>
      <c r="KD39" s="22"/>
      <c r="KE39" s="22"/>
      <c r="KF39" s="22"/>
      <c r="KG39" s="22"/>
      <c r="KH39" s="22"/>
      <c r="KI39" s="22"/>
      <c r="KJ39" s="22"/>
      <c r="KK39" s="22"/>
      <c r="KL39" s="22"/>
      <c r="KM39" s="22"/>
      <c r="KN39" s="22"/>
      <c r="KO39" s="22"/>
      <c r="KP39" s="22"/>
      <c r="KQ39" s="22"/>
      <c r="KR39" s="22"/>
      <c r="KS39" s="22"/>
      <c r="KT39" s="22"/>
      <c r="KU39" s="22"/>
      <c r="KV39" s="22"/>
      <c r="KW39" s="22"/>
      <c r="KX39" s="22"/>
      <c r="KY39" s="22"/>
      <c r="KZ39" s="22"/>
      <c r="LA39" s="22"/>
      <c r="LB39" s="22"/>
      <c r="LC39" s="22"/>
      <c r="LD39" s="22"/>
      <c r="LE39" s="22"/>
      <c r="LF39" s="22"/>
      <c r="LG39" s="22"/>
      <c r="LH39" s="22"/>
      <c r="LI39" s="22"/>
      <c r="LJ39" s="22"/>
      <c r="LK39" s="22"/>
      <c r="LL39" s="22"/>
      <c r="LM39" s="22"/>
      <c r="LN39" s="22"/>
      <c r="LO39" s="22"/>
      <c r="LP39" s="22"/>
      <c r="LQ39" s="22"/>
      <c r="LR39" s="22"/>
      <c r="LS39" s="22"/>
      <c r="LT39" s="22"/>
      <c r="LU39" s="22"/>
      <c r="LV39" s="22"/>
      <c r="LW39" s="22"/>
      <c r="LX39" s="22"/>
      <c r="LY39" s="22"/>
      <c r="LZ39" s="22"/>
      <c r="MA39" s="22"/>
      <c r="MB39" s="22"/>
      <c r="MC39" s="22"/>
      <c r="MD39" s="22"/>
      <c r="ME39" s="22"/>
      <c r="MF39" s="22"/>
      <c r="MG39" s="22"/>
      <c r="MH39" s="22"/>
      <c r="MI39" s="22"/>
      <c r="MJ39" s="22"/>
      <c r="MK39" s="22"/>
      <c r="ML39" s="22"/>
      <c r="MM39" s="22"/>
      <c r="MN39" s="22"/>
      <c r="MO39" s="22"/>
      <c r="MP39" s="22"/>
      <c r="MQ39" s="22"/>
      <c r="MR39" s="22"/>
      <c r="MS39" s="22"/>
      <c r="MT39" s="22"/>
      <c r="MU39" s="22"/>
      <c r="MV39" s="22"/>
      <c r="MW39" s="22"/>
      <c r="MX39" s="22"/>
      <c r="MY39" s="22"/>
      <c r="MZ39" s="22"/>
      <c r="NA39" s="22"/>
      <c r="NB39" s="22"/>
      <c r="NC39" s="22"/>
      <c r="ND39" s="22"/>
      <c r="NE39" s="22"/>
      <c r="NF39" s="22"/>
      <c r="NG39" s="22"/>
      <c r="NH39" s="22"/>
      <c r="NI39" s="22"/>
      <c r="NJ39" s="22"/>
      <c r="NK39" s="22"/>
      <c r="NL39" s="22"/>
      <c r="NM39" s="22"/>
      <c r="NN39" s="22"/>
      <c r="NO39" s="22"/>
      <c r="NP39" s="22"/>
      <c r="NQ39" s="22"/>
      <c r="NR39" s="22"/>
      <c r="NS39" s="22"/>
      <c r="NT39" s="22"/>
      <c r="NU39" s="22"/>
      <c r="NV39" s="22"/>
      <c r="NW39" s="22"/>
      <c r="NX39" s="22"/>
      <c r="NY39" s="22"/>
      <c r="NZ39" s="22"/>
      <c r="OA39" s="22"/>
      <c r="OB39" s="22"/>
      <c r="OC39" s="22"/>
      <c r="OD39" s="22"/>
      <c r="OE39" s="22"/>
      <c r="OF39" s="22"/>
      <c r="OG39" s="22"/>
      <c r="OH39" s="22"/>
      <c r="OI39" s="22"/>
      <c r="OJ39" s="22"/>
      <c r="OK39" s="22"/>
      <c r="OL39" s="22"/>
      <c r="OM39" s="22"/>
      <c r="ON39" s="22"/>
      <c r="OO39" s="22"/>
      <c r="OP39" s="22"/>
      <c r="OQ39" s="22"/>
      <c r="OR39" s="22"/>
      <c r="OS39" s="22"/>
      <c r="OT39" s="22"/>
      <c r="OU39" s="22"/>
      <c r="OV39" s="22"/>
      <c r="OW39" s="22"/>
      <c r="OX39" s="22"/>
      <c r="OY39" s="22"/>
      <c r="OZ39" s="22"/>
      <c r="PA39" s="22"/>
      <c r="PB39" s="22"/>
      <c r="PC39" s="22"/>
      <c r="PD39" s="22"/>
      <c r="PE39" s="22"/>
      <c r="PF39" s="22"/>
      <c r="PG39" s="22"/>
      <c r="PH39" s="22"/>
      <c r="PI39" s="22"/>
      <c r="PJ39" s="22"/>
      <c r="PK39" s="22"/>
      <c r="PL39" s="22"/>
      <c r="PM39" s="22"/>
      <c r="PN39" s="22"/>
      <c r="PO39" s="22"/>
      <c r="PP39" s="22"/>
      <c r="PQ39" s="22"/>
      <c r="PR39" s="22"/>
      <c r="PS39" s="22"/>
      <c r="PT39" s="22"/>
      <c r="PU39" s="22"/>
      <c r="PV39" s="22"/>
      <c r="PW39" s="22"/>
      <c r="PX39" s="22"/>
      <c r="PY39" s="22"/>
      <c r="PZ39" s="22"/>
      <c r="QA39" s="22"/>
      <c r="QB39" s="22"/>
      <c r="QC39" s="22"/>
      <c r="QD39" s="22"/>
      <c r="QE39" s="22"/>
      <c r="QF39" s="22"/>
      <c r="QG39" s="22"/>
      <c r="QH39" s="22"/>
      <c r="QI39" s="22"/>
      <c r="QJ39" s="22"/>
      <c r="QK39" s="22"/>
      <c r="QL39" s="22"/>
      <c r="QM39" s="22"/>
      <c r="QN39" s="22"/>
      <c r="QO39" s="22"/>
      <c r="QP39" s="22"/>
      <c r="QQ39" s="22"/>
      <c r="QR39" s="22"/>
      <c r="QS39" s="22"/>
      <c r="QT39" s="22"/>
      <c r="QU39" s="22"/>
      <c r="QV39" s="22"/>
      <c r="QW39" s="22"/>
      <c r="QX39" s="22"/>
      <c r="QY39" s="22"/>
      <c r="QZ39" s="22"/>
      <c r="RA39" s="22"/>
      <c r="RB39" s="22"/>
      <c r="RC39" s="22"/>
      <c r="RD39" s="22"/>
      <c r="RE39" s="22"/>
      <c r="RF39" s="22"/>
      <c r="RG39" s="22"/>
      <c r="RH39" s="22"/>
      <c r="RI39" s="22"/>
      <c r="RJ39" s="22"/>
      <c r="RK39" s="22"/>
      <c r="RL39" s="22"/>
      <c r="RM39" s="22"/>
      <c r="RN39" s="22"/>
      <c r="RO39" s="22"/>
      <c r="RP39" s="22"/>
      <c r="RQ39" s="22"/>
      <c r="RR39" s="22"/>
      <c r="RS39" s="22"/>
      <c r="RT39" s="22"/>
      <c r="RU39" s="22"/>
      <c r="RV39" s="22"/>
      <c r="RW39" s="22"/>
      <c r="RX39" s="22"/>
      <c r="RY39" s="22"/>
      <c r="RZ39" s="22"/>
      <c r="SA39" s="22"/>
      <c r="SB39" s="22"/>
      <c r="SC39" s="22"/>
      <c r="SD39" s="22"/>
      <c r="SE39" s="22"/>
      <c r="SF39" s="22"/>
      <c r="SG39" s="22"/>
      <c r="SH39" s="22"/>
      <c r="SI39" s="22"/>
      <c r="SJ39" s="22"/>
      <c r="SK39" s="22"/>
      <c r="SL39" s="22"/>
      <c r="SM39" s="22"/>
      <c r="SN39" s="22"/>
      <c r="SO39" s="22"/>
      <c r="SP39" s="22"/>
      <c r="SQ39" s="22"/>
      <c r="SR39" s="22"/>
      <c r="SS39" s="22"/>
      <c r="ST39" s="22"/>
      <c r="SU39" s="22"/>
      <c r="SV39" s="22"/>
      <c r="SW39" s="22"/>
      <c r="SX39" s="22"/>
      <c r="SY39" s="22"/>
      <c r="SZ39" s="22"/>
      <c r="TA39" s="22"/>
      <c r="TB39" s="22"/>
      <c r="TC39" s="22"/>
      <c r="TD39" s="22"/>
      <c r="TE39" s="22"/>
      <c r="TF39" s="22"/>
      <c r="TG39" s="22"/>
      <c r="TH39" s="22"/>
      <c r="TI39" s="22"/>
      <c r="TJ39" s="22"/>
      <c r="TK39" s="22"/>
      <c r="TL39" s="22"/>
      <c r="TM39" s="22"/>
      <c r="TN39" s="22"/>
      <c r="TO39" s="22"/>
      <c r="TP39" s="22"/>
      <c r="TQ39" s="22"/>
      <c r="TR39" s="22"/>
      <c r="TS39" s="22"/>
      <c r="TT39" s="22"/>
      <c r="TU39" s="22"/>
      <c r="TV39" s="22"/>
      <c r="TW39" s="22"/>
      <c r="TX39" s="22"/>
      <c r="TY39" s="22"/>
      <c r="TZ39" s="22"/>
      <c r="UA39" s="22"/>
      <c r="UB39" s="22"/>
      <c r="UC39" s="22"/>
      <c r="UD39" s="22"/>
      <c r="UE39" s="22"/>
      <c r="UF39" s="22"/>
      <c r="UG39" s="22"/>
      <c r="UH39" s="22"/>
      <c r="UI39" s="22"/>
      <c r="UJ39" s="22"/>
      <c r="UK39" s="22"/>
      <c r="UL39" s="22"/>
      <c r="UM39" s="22"/>
      <c r="UN39" s="22"/>
      <c r="UO39" s="22"/>
      <c r="UP39" s="22"/>
      <c r="UQ39" s="22"/>
      <c r="UR39" s="22"/>
      <c r="US39" s="22"/>
      <c r="UT39" s="22"/>
      <c r="UU39" s="22"/>
      <c r="UV39" s="22"/>
      <c r="UW39" s="22"/>
      <c r="UX39" s="22"/>
      <c r="UY39" s="22"/>
      <c r="UZ39" s="22"/>
      <c r="VA39" s="22"/>
      <c r="VB39" s="22"/>
      <c r="VC39" s="22"/>
      <c r="VD39" s="22"/>
      <c r="VE39" s="22"/>
      <c r="VF39" s="22"/>
      <c r="VG39" s="22"/>
      <c r="VH39" s="22"/>
      <c r="VI39" s="22"/>
      <c r="VJ39" s="22"/>
      <c r="VK39" s="22"/>
      <c r="VL39" s="22"/>
      <c r="VM39" s="22"/>
      <c r="VN39" s="22"/>
      <c r="VO39" s="22"/>
      <c r="VP39" s="22"/>
      <c r="VQ39" s="22"/>
      <c r="VR39" s="22"/>
      <c r="VS39" s="22"/>
      <c r="VT39" s="22"/>
      <c r="VU39" s="22"/>
      <c r="VV39" s="22"/>
      <c r="VW39" s="22"/>
      <c r="VX39" s="22"/>
      <c r="VY39" s="22"/>
      <c r="VZ39" s="22"/>
      <c r="WA39" s="22"/>
      <c r="WB39" s="22"/>
      <c r="WC39" s="22"/>
      <c r="WD39" s="22"/>
      <c r="WE39" s="22"/>
      <c r="WF39" s="22"/>
      <c r="WG39" s="22"/>
      <c r="WH39" s="22"/>
      <c r="WI39" s="22"/>
      <c r="WJ39" s="22"/>
      <c r="WK39" s="22"/>
      <c r="WL39" s="22"/>
      <c r="WM39" s="22"/>
      <c r="WN39" s="22"/>
      <c r="WO39" s="22"/>
      <c r="WP39" s="22"/>
      <c r="WQ39" s="22"/>
      <c r="WR39" s="22"/>
      <c r="WS39" s="22"/>
      <c r="WT39" s="22"/>
      <c r="WU39" s="22"/>
      <c r="WV39" s="22"/>
      <c r="WW39" s="22"/>
      <c r="WX39" s="22"/>
      <c r="WY39" s="22"/>
      <c r="WZ39" s="22"/>
      <c r="XA39" s="22"/>
      <c r="XB39" s="22"/>
      <c r="XC39" s="22"/>
      <c r="XD39" s="22"/>
      <c r="XE39" s="22"/>
      <c r="XF39" s="22"/>
      <c r="XG39" s="22"/>
      <c r="XH39" s="22"/>
      <c r="XI39" s="22"/>
      <c r="XJ39" s="22"/>
      <c r="XK39" s="22"/>
      <c r="XL39" s="22"/>
      <c r="XM39" s="22"/>
      <c r="XN39" s="22"/>
      <c r="XO39" s="22"/>
      <c r="XP39" s="22"/>
      <c r="XQ39" s="22"/>
      <c r="XR39" s="22"/>
      <c r="XS39" s="22"/>
      <c r="XT39" s="22"/>
      <c r="XU39" s="22"/>
      <c r="XV39" s="22"/>
      <c r="XW39" s="22"/>
      <c r="XX39" s="22"/>
      <c r="XY39" s="22"/>
      <c r="XZ39" s="22"/>
      <c r="YA39" s="22"/>
      <c r="YB39" s="22"/>
      <c r="YC39" s="22"/>
      <c r="YD39" s="22"/>
      <c r="YE39" s="22"/>
      <c r="YF39" s="22"/>
      <c r="YG39" s="22"/>
      <c r="YH39" s="22"/>
      <c r="YI39" s="22"/>
      <c r="YJ39" s="22"/>
      <c r="YK39" s="22"/>
      <c r="YL39" s="22"/>
      <c r="YM39" s="22"/>
      <c r="YN39" s="22"/>
      <c r="YO39" s="22"/>
      <c r="YP39" s="22"/>
      <c r="YQ39" s="22"/>
      <c r="YR39" s="22"/>
      <c r="YS39" s="22"/>
      <c r="YT39" s="22"/>
      <c r="YU39" s="22"/>
      <c r="YV39" s="22"/>
      <c r="YW39" s="22"/>
      <c r="YX39" s="22"/>
      <c r="YY39" s="22"/>
      <c r="YZ39" s="22"/>
      <c r="ZA39" s="22"/>
      <c r="ZB39" s="22"/>
      <c r="ZC39" s="22"/>
      <c r="ZD39" s="22"/>
      <c r="ZE39" s="22"/>
      <c r="ZF39" s="22"/>
      <c r="ZG39" s="22"/>
      <c r="ZH39" s="22"/>
      <c r="ZI39" s="22"/>
      <c r="ZJ39" s="22"/>
      <c r="ZK39" s="22"/>
      <c r="ZL39" s="22"/>
      <c r="ZM39" s="22"/>
      <c r="ZN39" s="22"/>
      <c r="ZO39" s="22"/>
      <c r="ZP39" s="22"/>
      <c r="ZQ39" s="22"/>
      <c r="ZR39" s="22"/>
      <c r="ZS39" s="22"/>
      <c r="ZT39" s="22"/>
      <c r="ZU39" s="22"/>
      <c r="ZV39" s="22"/>
      <c r="ZW39" s="22"/>
      <c r="ZX39" s="22"/>
      <c r="ZY39" s="22"/>
      <c r="ZZ39" s="22"/>
      <c r="AAA39" s="22"/>
      <c r="AAB39" s="22"/>
      <c r="AAC39" s="22"/>
      <c r="AAD39" s="22"/>
      <c r="AAE39" s="22"/>
      <c r="AAF39" s="22"/>
      <c r="AAG39" s="22"/>
      <c r="AAH39" s="22"/>
      <c r="AAI39" s="22"/>
      <c r="AAJ39" s="22"/>
      <c r="AAK39" s="22"/>
      <c r="AAL39" s="22"/>
      <c r="AAM39" s="22"/>
      <c r="AAN39" s="22"/>
      <c r="AAO39" s="22"/>
      <c r="AAP39" s="22"/>
      <c r="AAQ39" s="22"/>
      <c r="AAR39" s="22"/>
      <c r="AAS39" s="22"/>
      <c r="AAT39" s="22"/>
      <c r="AAU39" s="22"/>
      <c r="AAV39" s="22"/>
      <c r="AAW39" s="22"/>
      <c r="AAX39" s="22"/>
      <c r="AAY39" s="22"/>
      <c r="AAZ39" s="22"/>
      <c r="ABA39" s="22"/>
      <c r="ABB39" s="22"/>
      <c r="ABC39" s="22"/>
    </row>
    <row r="40" spans="1:731" s="290" customFormat="1" ht="15" customHeight="1" thickBot="1" x14ac:dyDescent="0.35">
      <c r="A40" s="36"/>
      <c r="B40" s="426"/>
      <c r="C40" s="337"/>
      <c r="D40" s="37"/>
      <c r="E40" s="37" t="s">
        <v>50</v>
      </c>
      <c r="F40" s="38">
        <f>SUM(F34:F39)</f>
        <v>10670.848096780361</v>
      </c>
      <c r="G40" s="39">
        <f>SUM(G34:G39)</f>
        <v>9875.5926619941602</v>
      </c>
      <c r="H40" s="40">
        <f t="shared" ref="H40:H61" si="64">F40-G40</f>
        <v>795.25543478620057</v>
      </c>
      <c r="I40" s="41">
        <f t="shared" si="1"/>
        <v>8.0527362964929752E-2</v>
      </c>
      <c r="J40" s="39">
        <f>SUM(J34:J39)</f>
        <v>3185581.0311871977</v>
      </c>
      <c r="K40" s="39">
        <f>SUM(K34:K39)</f>
        <v>2948172.4761195071</v>
      </c>
      <c r="L40" s="40">
        <f t="shared" ref="L40:L64" si="65">J40-K40</f>
        <v>237408.55506769056</v>
      </c>
      <c r="M40" s="41">
        <f t="shared" si="21"/>
        <v>8.0527362964929516E-2</v>
      </c>
      <c r="N40" s="39">
        <f>SUM(N34:N39)</f>
        <v>45218.705287197903</v>
      </c>
      <c r="O40" s="39">
        <f>SUM(O34:O39)</f>
        <v>178457.83821950457</v>
      </c>
      <c r="P40" s="40">
        <f t="shared" ref="P40:P78" si="66">N40-O40</f>
        <v>-133239.13293230667</v>
      </c>
      <c r="Q40" s="41">
        <f t="shared" si="2"/>
        <v>-0.74661407008876501</v>
      </c>
      <c r="R40" s="39">
        <f>SUM(R34:R39)</f>
        <v>0</v>
      </c>
      <c r="S40" s="39">
        <f>SUM(S34:S39)</f>
        <v>0</v>
      </c>
      <c r="T40" s="40">
        <f t="shared" ref="T40:T63" si="67">R40-S40</f>
        <v>0</v>
      </c>
      <c r="U40" s="41" t="str">
        <f t="shared" si="30"/>
        <v/>
      </c>
      <c r="V40" s="39">
        <f>SUM(V34:V39)</f>
        <v>132104.12412125</v>
      </c>
      <c r="W40" s="39">
        <f>SUM(W34:W39)</f>
        <v>151364.69509954535</v>
      </c>
      <c r="X40" s="40">
        <f t="shared" ref="X40:X64" si="68">V40-W40</f>
        <v>-19260.570978295349</v>
      </c>
      <c r="Y40" s="41">
        <f t="shared" si="4"/>
        <v>-0.12724612542990021</v>
      </c>
      <c r="Z40" s="147">
        <f>SUM(Z34:Z39)</f>
        <v>-86885.418834052078</v>
      </c>
      <c r="AA40" s="39">
        <f>SUM(AA34:AA39)</f>
        <v>27093.143119958797</v>
      </c>
      <c r="AB40" s="40">
        <f t="shared" ref="AB40:AB64" si="69">Z40-AA40</f>
        <v>-113978.56195401087</v>
      </c>
      <c r="AC40" s="42">
        <f t="shared" si="5"/>
        <v>-4.206915434261516</v>
      </c>
      <c r="AD40" s="149">
        <f>SUM(AD34:AD39)</f>
        <v>123428.86629875</v>
      </c>
      <c r="AE40" s="149">
        <f>SUM(AE34:AE39)</f>
        <v>6317.5054519304904</v>
      </c>
      <c r="AF40" s="117">
        <f t="shared" si="6"/>
        <v>117111.3608468195</v>
      </c>
      <c r="AG40" s="118">
        <f t="shared" si="7"/>
        <v>18.53759553322314</v>
      </c>
      <c r="AH40" s="118">
        <f>SUM(AH34:AH39)</f>
        <v>2852.9231328020001</v>
      </c>
      <c r="AI40" s="118">
        <f>SUM(AI34:AI39)</f>
        <v>0</v>
      </c>
      <c r="AJ40" s="117">
        <f t="shared" si="8"/>
        <v>2852.9231328020001</v>
      </c>
      <c r="AK40" s="118" t="str">
        <f>IFERROR(IF(AI40&lt;0,-(AH40-AI40)/AI40,(AH40-AI40)/AI40),"")</f>
        <v/>
      </c>
      <c r="AL40" s="118">
        <f>SUM(AL34:AL39)</f>
        <v>-207461.36199999999</v>
      </c>
      <c r="AM40" s="118">
        <f>SUM(AM34:AM39)</f>
        <v>20775.637668028299</v>
      </c>
      <c r="AN40" s="117">
        <f t="shared" si="9"/>
        <v>-228236.99966802829</v>
      </c>
      <c r="AO40" s="112">
        <f t="shared" si="10"/>
        <v>-10.985799969897579</v>
      </c>
      <c r="AP40" s="317"/>
      <c r="AQ40" s="177"/>
      <c r="AR40" s="289">
        <f t="shared" si="11"/>
        <v>0</v>
      </c>
      <c r="AS40" s="289">
        <f t="shared" si="12"/>
        <v>4.220055416226387E-10</v>
      </c>
      <c r="AT40" s="289">
        <f t="shared" si="13"/>
        <v>0</v>
      </c>
      <c r="AU40" s="289">
        <f t="shared" si="14"/>
        <v>0</v>
      </c>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c r="CY40" s="177"/>
      <c r="CZ40" s="177"/>
      <c r="DA40" s="177"/>
      <c r="DB40" s="177"/>
      <c r="DC40" s="177"/>
      <c r="DD40" s="177"/>
      <c r="DE40" s="177"/>
      <c r="DF40" s="177"/>
      <c r="DG40" s="177"/>
      <c r="DH40" s="177"/>
      <c r="DI40" s="177"/>
      <c r="DJ40" s="177"/>
      <c r="DK40" s="177"/>
      <c r="DL40" s="177"/>
      <c r="DM40" s="177"/>
      <c r="DN40" s="177"/>
      <c r="DO40" s="177"/>
      <c r="DP40" s="177"/>
      <c r="DQ40" s="177"/>
      <c r="DR40" s="177"/>
      <c r="DS40" s="177"/>
      <c r="DT40" s="177"/>
      <c r="DU40" s="177"/>
      <c r="DV40" s="177"/>
      <c r="DW40" s="177"/>
      <c r="DX40" s="177"/>
      <c r="DY40" s="177"/>
      <c r="DZ40" s="177"/>
      <c r="EA40" s="177"/>
      <c r="EB40" s="177"/>
      <c r="EC40" s="177"/>
      <c r="ED40" s="177"/>
      <c r="EE40" s="177"/>
      <c r="EF40" s="177"/>
      <c r="EG40" s="177"/>
      <c r="EH40" s="177"/>
      <c r="EI40" s="177"/>
      <c r="EJ40" s="177"/>
      <c r="EK40" s="177"/>
      <c r="EL40" s="177"/>
      <c r="EM40" s="177"/>
      <c r="EN40" s="177"/>
      <c r="EO40" s="177"/>
      <c r="EP40" s="177"/>
      <c r="EQ40" s="177"/>
      <c r="ER40" s="177"/>
      <c r="ES40" s="177"/>
      <c r="ET40" s="177"/>
      <c r="EU40" s="177"/>
      <c r="EV40" s="177"/>
      <c r="EW40" s="177"/>
      <c r="EX40" s="177"/>
      <c r="EY40" s="177"/>
      <c r="EZ40" s="177"/>
      <c r="FA40" s="177"/>
      <c r="FB40" s="177"/>
      <c r="FC40" s="177"/>
      <c r="FD40" s="177"/>
      <c r="FE40" s="177"/>
      <c r="FF40" s="177"/>
      <c r="FG40" s="177"/>
      <c r="FH40" s="177"/>
      <c r="FI40" s="177"/>
      <c r="FJ40" s="177"/>
      <c r="FK40" s="177"/>
      <c r="FL40" s="177"/>
      <c r="FM40" s="177"/>
      <c r="FN40" s="177"/>
      <c r="FO40" s="177"/>
      <c r="FP40" s="177"/>
      <c r="FQ40" s="177"/>
      <c r="FR40" s="177"/>
      <c r="FS40" s="177"/>
      <c r="FT40" s="177"/>
      <c r="FU40" s="177"/>
      <c r="FV40" s="177"/>
      <c r="FW40" s="177"/>
      <c r="FX40" s="177"/>
      <c r="FY40" s="177"/>
      <c r="FZ40" s="177"/>
      <c r="GA40" s="177"/>
      <c r="GB40" s="177"/>
      <c r="GC40" s="177"/>
      <c r="GD40" s="177"/>
      <c r="GE40" s="177"/>
      <c r="GF40" s="177"/>
      <c r="GG40" s="177"/>
      <c r="GH40" s="177"/>
      <c r="GI40" s="177"/>
      <c r="GJ40" s="177"/>
      <c r="GK40" s="177"/>
      <c r="GL40" s="177"/>
      <c r="GM40" s="177"/>
      <c r="GN40" s="177"/>
      <c r="GO40" s="177"/>
      <c r="GP40" s="177"/>
      <c r="GQ40" s="177"/>
      <c r="GR40" s="177"/>
      <c r="GS40" s="177"/>
      <c r="GT40" s="177"/>
      <c r="GU40" s="177"/>
      <c r="GV40" s="177"/>
      <c r="GW40" s="177"/>
      <c r="GX40" s="177"/>
      <c r="GY40" s="177"/>
      <c r="GZ40" s="177"/>
      <c r="HA40" s="177"/>
      <c r="HB40" s="177"/>
      <c r="HC40" s="177"/>
      <c r="HD40" s="177"/>
      <c r="HE40" s="177"/>
      <c r="HF40" s="177"/>
      <c r="HG40" s="177"/>
      <c r="HH40" s="177"/>
      <c r="HI40" s="177"/>
      <c r="HJ40" s="177"/>
      <c r="HK40" s="177"/>
      <c r="HL40" s="177"/>
      <c r="HM40" s="177"/>
      <c r="HN40" s="177"/>
      <c r="HO40" s="177"/>
      <c r="HP40" s="177"/>
      <c r="HQ40" s="177"/>
      <c r="HR40" s="177"/>
      <c r="HS40" s="177"/>
      <c r="HT40" s="177"/>
      <c r="HU40" s="177"/>
      <c r="HV40" s="177"/>
      <c r="HW40" s="177"/>
      <c r="HX40" s="177"/>
      <c r="HY40" s="177"/>
      <c r="HZ40" s="177"/>
      <c r="IA40" s="177"/>
      <c r="IB40" s="177"/>
      <c r="IC40" s="177"/>
      <c r="ID40" s="177"/>
      <c r="IE40" s="177"/>
      <c r="IF40" s="177"/>
      <c r="IG40" s="177"/>
      <c r="IH40" s="177"/>
      <c r="II40" s="177"/>
      <c r="IJ40" s="177"/>
      <c r="IK40" s="177"/>
      <c r="IL40" s="177"/>
      <c r="IM40" s="177"/>
      <c r="IN40" s="177"/>
      <c r="IO40" s="177"/>
      <c r="IP40" s="177"/>
      <c r="IQ40" s="177"/>
      <c r="IR40" s="177"/>
      <c r="IS40" s="177"/>
      <c r="IT40" s="177"/>
      <c r="IU40" s="177"/>
      <c r="IV40" s="177"/>
      <c r="IW40" s="177"/>
      <c r="IX40" s="177"/>
      <c r="IY40" s="177"/>
      <c r="IZ40" s="177"/>
      <c r="JA40" s="177"/>
      <c r="JB40" s="177"/>
      <c r="JC40" s="177"/>
      <c r="JD40" s="177"/>
      <c r="JE40" s="177"/>
      <c r="JF40" s="338"/>
      <c r="JG40" s="338"/>
      <c r="JH40" s="338"/>
      <c r="JI40" s="338"/>
      <c r="JJ40" s="177"/>
      <c r="JK40" s="177"/>
      <c r="JL40" s="177"/>
      <c r="JM40" s="177"/>
      <c r="JN40" s="177"/>
      <c r="JO40" s="177"/>
      <c r="JP40" s="177"/>
      <c r="JQ40" s="177"/>
      <c r="JR40" s="177"/>
      <c r="JS40" s="177"/>
      <c r="JT40" s="177"/>
      <c r="JU40" s="177"/>
      <c r="JV40" s="177"/>
      <c r="JW40" s="177"/>
      <c r="JX40" s="177"/>
      <c r="JY40" s="177"/>
      <c r="JZ40" s="177"/>
      <c r="KA40" s="177"/>
      <c r="KB40" s="177"/>
      <c r="KC40" s="177"/>
      <c r="KD40" s="177"/>
      <c r="KE40" s="177"/>
      <c r="KF40" s="177"/>
      <c r="KG40" s="177"/>
      <c r="KH40" s="177"/>
      <c r="KI40" s="177"/>
      <c r="KJ40" s="177"/>
      <c r="KK40" s="177"/>
      <c r="KL40" s="177"/>
      <c r="KM40" s="177"/>
      <c r="KN40" s="177"/>
      <c r="KO40" s="177"/>
      <c r="KP40" s="177"/>
      <c r="KQ40" s="177"/>
      <c r="KR40" s="177"/>
      <c r="KS40" s="177"/>
      <c r="KT40" s="177"/>
      <c r="KU40" s="177"/>
      <c r="KV40" s="177"/>
      <c r="KW40" s="177"/>
      <c r="KX40" s="177"/>
      <c r="KY40" s="177"/>
      <c r="KZ40" s="177"/>
      <c r="LA40" s="177"/>
      <c r="LB40" s="177"/>
      <c r="LC40" s="177"/>
      <c r="LD40" s="177"/>
      <c r="LE40" s="177"/>
      <c r="LF40" s="177"/>
      <c r="LG40" s="177"/>
      <c r="LH40" s="177"/>
      <c r="LI40" s="177"/>
      <c r="LJ40" s="177"/>
      <c r="LK40" s="177"/>
      <c r="LL40" s="177"/>
      <c r="LM40" s="177"/>
      <c r="LN40" s="177"/>
      <c r="LO40" s="177"/>
      <c r="LP40" s="177"/>
      <c r="LQ40" s="177"/>
      <c r="LR40" s="177"/>
      <c r="LS40" s="177"/>
      <c r="LT40" s="177"/>
      <c r="LU40" s="177"/>
      <c r="LV40" s="177"/>
      <c r="LW40" s="177"/>
      <c r="LX40" s="177"/>
      <c r="LY40" s="177"/>
      <c r="LZ40" s="177"/>
      <c r="MA40" s="177"/>
      <c r="MB40" s="177"/>
      <c r="MC40" s="177"/>
      <c r="MD40" s="177"/>
      <c r="ME40" s="177"/>
      <c r="MF40" s="177"/>
      <c r="MG40" s="177"/>
      <c r="MH40" s="177"/>
      <c r="MI40" s="177"/>
      <c r="MJ40" s="177"/>
      <c r="MK40" s="177"/>
      <c r="ML40" s="177"/>
      <c r="MM40" s="177"/>
      <c r="MN40" s="177"/>
      <c r="MO40" s="177"/>
      <c r="MP40" s="177"/>
      <c r="MQ40" s="177"/>
      <c r="MR40" s="177"/>
      <c r="MS40" s="177"/>
      <c r="MT40" s="177"/>
      <c r="MU40" s="177"/>
      <c r="MV40" s="177"/>
      <c r="MW40" s="177"/>
      <c r="MX40" s="177"/>
      <c r="MY40" s="177"/>
      <c r="MZ40" s="177"/>
      <c r="NA40" s="177"/>
      <c r="NB40" s="177"/>
      <c r="NC40" s="177"/>
      <c r="ND40" s="177"/>
      <c r="NE40" s="177"/>
      <c r="NF40" s="177"/>
      <c r="NG40" s="177"/>
      <c r="NH40" s="177"/>
      <c r="NI40" s="177"/>
      <c r="NJ40" s="177"/>
      <c r="NK40" s="177"/>
      <c r="NL40" s="177"/>
      <c r="NM40" s="177"/>
      <c r="NN40" s="177"/>
      <c r="NO40" s="177"/>
      <c r="NP40" s="177"/>
      <c r="NQ40" s="177"/>
      <c r="NR40" s="177"/>
      <c r="NS40" s="177"/>
      <c r="NT40" s="177"/>
      <c r="NU40" s="177"/>
      <c r="NV40" s="177"/>
      <c r="NW40" s="177"/>
      <c r="NX40" s="177"/>
      <c r="NY40" s="177"/>
      <c r="NZ40" s="177"/>
      <c r="OA40" s="177"/>
      <c r="OB40" s="177"/>
      <c r="OC40" s="177"/>
      <c r="OD40" s="177"/>
      <c r="OE40" s="177"/>
      <c r="OF40" s="177"/>
      <c r="OG40" s="177"/>
      <c r="OH40" s="177"/>
      <c r="OI40" s="177"/>
      <c r="OJ40" s="177"/>
      <c r="OK40" s="177"/>
      <c r="OL40" s="177"/>
      <c r="OM40" s="177"/>
      <c r="ON40" s="177"/>
      <c r="OO40" s="177"/>
      <c r="OP40" s="177"/>
      <c r="OQ40" s="177"/>
      <c r="OR40" s="177"/>
      <c r="OS40" s="177"/>
      <c r="OT40" s="177"/>
      <c r="OU40" s="177"/>
      <c r="OV40" s="177"/>
      <c r="OW40" s="177"/>
      <c r="OX40" s="177"/>
      <c r="OY40" s="177"/>
      <c r="OZ40" s="177"/>
      <c r="PA40" s="177"/>
      <c r="PB40" s="177"/>
      <c r="PC40" s="177"/>
      <c r="PD40" s="177"/>
      <c r="PE40" s="177"/>
      <c r="PF40" s="177"/>
      <c r="PG40" s="177"/>
      <c r="PH40" s="177"/>
      <c r="PI40" s="177"/>
      <c r="PJ40" s="177"/>
      <c r="PK40" s="177"/>
      <c r="PL40" s="177"/>
      <c r="PM40" s="177"/>
      <c r="PN40" s="177"/>
      <c r="PO40" s="177"/>
      <c r="PP40" s="177"/>
      <c r="PQ40" s="177"/>
      <c r="PR40" s="177"/>
      <c r="PS40" s="177"/>
      <c r="PT40" s="177"/>
      <c r="PU40" s="177"/>
      <c r="PV40" s="177"/>
      <c r="PW40" s="177"/>
      <c r="PX40" s="177"/>
      <c r="PY40" s="177"/>
      <c r="PZ40" s="177"/>
      <c r="QA40" s="177"/>
      <c r="QB40" s="177"/>
      <c r="QC40" s="177"/>
      <c r="QD40" s="177"/>
      <c r="QE40" s="177"/>
      <c r="QF40" s="177"/>
      <c r="QG40" s="177"/>
      <c r="QH40" s="177"/>
      <c r="QI40" s="177"/>
      <c r="QJ40" s="177"/>
      <c r="QK40" s="177"/>
      <c r="QL40" s="177"/>
      <c r="QM40" s="177"/>
      <c r="QN40" s="177"/>
      <c r="QO40" s="177"/>
      <c r="QP40" s="177"/>
      <c r="QQ40" s="177"/>
      <c r="QR40" s="177"/>
      <c r="QS40" s="177"/>
      <c r="QT40" s="177"/>
      <c r="QU40" s="177"/>
      <c r="QV40" s="177"/>
      <c r="QW40" s="177"/>
      <c r="QX40" s="177"/>
      <c r="QY40" s="177"/>
      <c r="QZ40" s="177"/>
      <c r="RA40" s="177"/>
      <c r="RB40" s="177"/>
      <c r="RC40" s="177"/>
      <c r="RD40" s="177"/>
      <c r="RE40" s="177"/>
      <c r="RF40" s="177"/>
      <c r="RG40" s="177"/>
      <c r="RH40" s="177"/>
      <c r="RI40" s="177"/>
      <c r="RJ40" s="177"/>
      <c r="RK40" s="177"/>
      <c r="RL40" s="177"/>
      <c r="RM40" s="177"/>
      <c r="RN40" s="177"/>
      <c r="RO40" s="177"/>
      <c r="RP40" s="177"/>
      <c r="RQ40" s="177"/>
      <c r="RR40" s="177"/>
      <c r="RS40" s="177"/>
      <c r="RT40" s="177"/>
      <c r="RU40" s="177"/>
      <c r="RV40" s="177"/>
      <c r="RW40" s="177"/>
      <c r="RX40" s="177"/>
      <c r="RY40" s="177"/>
      <c r="RZ40" s="177"/>
      <c r="SA40" s="177"/>
      <c r="SB40" s="177"/>
      <c r="SC40" s="177"/>
      <c r="SD40" s="177"/>
      <c r="SE40" s="177"/>
      <c r="SF40" s="177"/>
      <c r="SG40" s="177"/>
      <c r="SH40" s="177"/>
      <c r="SI40" s="177"/>
      <c r="SJ40" s="177"/>
      <c r="SK40" s="177"/>
      <c r="SL40" s="177"/>
      <c r="SM40" s="177"/>
      <c r="SN40" s="177"/>
      <c r="SO40" s="177"/>
      <c r="SP40" s="177"/>
      <c r="SQ40" s="177"/>
      <c r="SR40" s="177"/>
      <c r="SS40" s="177"/>
      <c r="ST40" s="177"/>
      <c r="SU40" s="177"/>
      <c r="SV40" s="177"/>
      <c r="SW40" s="177"/>
      <c r="SX40" s="177"/>
      <c r="SY40" s="177"/>
      <c r="SZ40" s="177"/>
      <c r="TA40" s="177"/>
      <c r="TB40" s="177"/>
      <c r="TC40" s="177"/>
      <c r="TD40" s="177"/>
      <c r="TE40" s="177"/>
      <c r="TF40" s="177"/>
      <c r="TG40" s="177"/>
      <c r="TH40" s="177"/>
      <c r="TI40" s="177"/>
      <c r="TJ40" s="177"/>
      <c r="TK40" s="177"/>
      <c r="TL40" s="177"/>
      <c r="TM40" s="177"/>
      <c r="TN40" s="177"/>
      <c r="TO40" s="177"/>
      <c r="TP40" s="177"/>
      <c r="TQ40" s="177"/>
      <c r="TR40" s="177"/>
      <c r="TS40" s="177"/>
      <c r="TT40" s="177"/>
      <c r="TU40" s="177"/>
      <c r="TV40" s="177"/>
      <c r="TW40" s="177"/>
      <c r="TX40" s="177"/>
      <c r="TY40" s="177"/>
      <c r="TZ40" s="177"/>
      <c r="UA40" s="177"/>
      <c r="UB40" s="177"/>
      <c r="UC40" s="177"/>
      <c r="UD40" s="177"/>
      <c r="UE40" s="177"/>
      <c r="UF40" s="177"/>
      <c r="UG40" s="177"/>
      <c r="UH40" s="177"/>
      <c r="UI40" s="177"/>
      <c r="UJ40" s="177"/>
      <c r="UK40" s="177"/>
      <c r="UL40" s="177"/>
      <c r="UM40" s="177"/>
      <c r="UN40" s="177"/>
      <c r="UO40" s="177"/>
      <c r="UP40" s="177"/>
      <c r="UQ40" s="177"/>
      <c r="UR40" s="177"/>
      <c r="US40" s="177"/>
      <c r="UT40" s="177"/>
      <c r="UU40" s="177"/>
      <c r="UV40" s="177"/>
      <c r="UW40" s="177"/>
      <c r="UX40" s="177"/>
      <c r="UY40" s="177"/>
      <c r="UZ40" s="177"/>
      <c r="VA40" s="177"/>
      <c r="VB40" s="177"/>
      <c r="VC40" s="177"/>
      <c r="VD40" s="177"/>
      <c r="VE40" s="177"/>
      <c r="VF40" s="177"/>
      <c r="VG40" s="177"/>
      <c r="VH40" s="177"/>
      <c r="VI40" s="177"/>
      <c r="VJ40" s="177"/>
      <c r="VK40" s="177"/>
      <c r="VL40" s="177"/>
      <c r="VM40" s="177"/>
      <c r="VN40" s="177"/>
      <c r="VO40" s="177"/>
      <c r="VP40" s="177"/>
      <c r="VQ40" s="177"/>
      <c r="VR40" s="177"/>
      <c r="VS40" s="177"/>
      <c r="VT40" s="177"/>
      <c r="VU40" s="177"/>
      <c r="VV40" s="177"/>
      <c r="VW40" s="177"/>
      <c r="VX40" s="177"/>
      <c r="VY40" s="177"/>
      <c r="VZ40" s="177"/>
      <c r="WA40" s="177"/>
      <c r="WB40" s="177"/>
      <c r="WC40" s="177"/>
      <c r="WD40" s="177"/>
      <c r="WE40" s="177"/>
      <c r="WF40" s="177"/>
      <c r="WG40" s="177"/>
      <c r="WH40" s="177"/>
      <c r="WI40" s="177"/>
      <c r="WJ40" s="177"/>
      <c r="WK40" s="177"/>
      <c r="WL40" s="177"/>
      <c r="WM40" s="177"/>
      <c r="WN40" s="177"/>
      <c r="WO40" s="177"/>
      <c r="WP40" s="177"/>
      <c r="WQ40" s="177"/>
      <c r="WR40" s="177"/>
      <c r="WS40" s="177"/>
      <c r="WT40" s="177"/>
      <c r="WU40" s="177"/>
      <c r="WV40" s="177"/>
      <c r="WW40" s="177"/>
      <c r="WX40" s="177"/>
      <c r="WY40" s="177"/>
      <c r="WZ40" s="177"/>
      <c r="XA40" s="177"/>
      <c r="XB40" s="177"/>
      <c r="XC40" s="177"/>
      <c r="XD40" s="177"/>
      <c r="XE40" s="177"/>
      <c r="XF40" s="177"/>
      <c r="XG40" s="177"/>
      <c r="XH40" s="177"/>
      <c r="XI40" s="177"/>
      <c r="XJ40" s="177"/>
      <c r="XK40" s="177"/>
      <c r="XL40" s="177"/>
      <c r="XM40" s="177"/>
      <c r="XN40" s="177"/>
      <c r="XO40" s="177"/>
      <c r="XP40" s="177"/>
      <c r="XQ40" s="177"/>
      <c r="XR40" s="177"/>
      <c r="XS40" s="177"/>
      <c r="XT40" s="177"/>
      <c r="XU40" s="177"/>
      <c r="XV40" s="177"/>
      <c r="XW40" s="177"/>
      <c r="XX40" s="177"/>
      <c r="XY40" s="177"/>
      <c r="XZ40" s="177"/>
      <c r="YA40" s="177"/>
      <c r="YB40" s="177"/>
      <c r="YC40" s="177"/>
      <c r="YD40" s="177"/>
      <c r="YE40" s="177"/>
      <c r="YF40" s="177"/>
      <c r="YG40" s="177"/>
      <c r="YH40" s="177"/>
      <c r="YI40" s="177"/>
      <c r="YJ40" s="177"/>
      <c r="YK40" s="177"/>
      <c r="YL40" s="177"/>
      <c r="YM40" s="177"/>
      <c r="YN40" s="177"/>
      <c r="YO40" s="177"/>
      <c r="YP40" s="177"/>
      <c r="YQ40" s="177"/>
      <c r="YR40" s="177"/>
      <c r="YS40" s="177"/>
      <c r="YT40" s="177"/>
      <c r="YU40" s="177"/>
      <c r="YV40" s="177"/>
      <c r="YW40" s="177"/>
      <c r="YX40" s="177"/>
      <c r="YY40" s="177"/>
      <c r="YZ40" s="177"/>
      <c r="ZA40" s="177"/>
      <c r="ZB40" s="177"/>
      <c r="ZC40" s="177"/>
      <c r="ZD40" s="177"/>
      <c r="ZE40" s="177"/>
      <c r="ZF40" s="177"/>
      <c r="ZG40" s="177"/>
      <c r="ZH40" s="177"/>
      <c r="ZI40" s="177"/>
      <c r="ZJ40" s="177"/>
      <c r="ZK40" s="177"/>
      <c r="ZL40" s="177"/>
      <c r="ZM40" s="177"/>
      <c r="ZN40" s="177"/>
      <c r="ZO40" s="177"/>
      <c r="ZP40" s="177"/>
      <c r="ZQ40" s="177"/>
      <c r="ZR40" s="177"/>
      <c r="ZS40" s="177"/>
      <c r="ZT40" s="177"/>
      <c r="ZU40" s="177"/>
      <c r="ZV40" s="177"/>
      <c r="ZW40" s="177"/>
      <c r="ZX40" s="177"/>
      <c r="ZY40" s="177"/>
      <c r="ZZ40" s="177"/>
      <c r="AAA40" s="177"/>
      <c r="AAB40" s="177"/>
      <c r="AAC40" s="177"/>
      <c r="AAD40" s="177"/>
      <c r="AAE40" s="177"/>
      <c r="AAF40" s="177"/>
      <c r="AAG40" s="177"/>
      <c r="AAH40" s="177"/>
      <c r="AAI40" s="177"/>
      <c r="AAJ40" s="177"/>
      <c r="AAK40" s="177"/>
      <c r="AAL40" s="177"/>
      <c r="AAM40" s="177"/>
      <c r="AAN40" s="177"/>
      <c r="AAO40" s="177"/>
      <c r="AAP40" s="177"/>
      <c r="AAQ40" s="177"/>
      <c r="AAR40" s="177"/>
      <c r="AAS40" s="177"/>
      <c r="AAT40" s="177"/>
      <c r="AAU40" s="177"/>
      <c r="AAV40" s="177"/>
      <c r="AAW40" s="177"/>
      <c r="AAX40" s="177"/>
      <c r="AAY40" s="177"/>
      <c r="AAZ40" s="177"/>
      <c r="ABA40" s="177"/>
      <c r="ABB40" s="177"/>
      <c r="ABC40" s="177"/>
    </row>
    <row r="41" spans="1:731" ht="15" customHeight="1" x14ac:dyDescent="0.3">
      <c r="A41" s="412" t="s">
        <v>51</v>
      </c>
      <c r="B41" s="70"/>
      <c r="C41" s="65"/>
      <c r="D41" s="9" t="s">
        <v>11</v>
      </c>
      <c r="E41" s="46" t="s">
        <v>52</v>
      </c>
      <c r="F41" s="11">
        <f>J41/$F$2</f>
        <v>0</v>
      </c>
      <c r="G41" s="16">
        <f>K41/$F$2</f>
        <v>0</v>
      </c>
      <c r="H41" s="13">
        <f t="shared" si="64"/>
        <v>0</v>
      </c>
      <c r="I41" s="14" t="str">
        <f t="shared" si="1"/>
        <v/>
      </c>
      <c r="J41" s="15"/>
      <c r="K41" s="16"/>
      <c r="L41" s="13">
        <f t="shared" si="65"/>
        <v>0</v>
      </c>
      <c r="M41" s="14" t="str">
        <f t="shared" si="21"/>
        <v/>
      </c>
      <c r="N41" s="15"/>
      <c r="O41" s="16"/>
      <c r="P41" s="13">
        <f t="shared" si="66"/>
        <v>0</v>
      </c>
      <c r="Q41" s="14" t="str">
        <f t="shared" si="2"/>
        <v/>
      </c>
      <c r="R41" s="15"/>
      <c r="S41" s="16"/>
      <c r="T41" s="13">
        <f t="shared" si="67"/>
        <v>0</v>
      </c>
      <c r="U41" s="14" t="str">
        <f t="shared" si="30"/>
        <v/>
      </c>
      <c r="V41" s="15"/>
      <c r="W41" s="16"/>
      <c r="X41" s="13">
        <f t="shared" si="68"/>
        <v>0</v>
      </c>
      <c r="Y41" s="14" t="str">
        <f t="shared" si="4"/>
        <v/>
      </c>
      <c r="Z41" s="15"/>
      <c r="AA41" s="16"/>
      <c r="AB41" s="13">
        <f t="shared" si="69"/>
        <v>0</v>
      </c>
      <c r="AC41" s="19" t="str">
        <f t="shared" si="5"/>
        <v/>
      </c>
      <c r="AD41" s="137"/>
      <c r="AE41" s="138"/>
      <c r="AF41" s="108">
        <f t="shared" si="6"/>
        <v>0</v>
      </c>
      <c r="AG41" s="110" t="str">
        <f t="shared" si="7"/>
        <v/>
      </c>
      <c r="AH41" s="143"/>
      <c r="AI41" s="127"/>
      <c r="AJ41" s="108">
        <f t="shared" si="8"/>
        <v>0</v>
      </c>
      <c r="AK41" s="20" t="str">
        <f>IFERROR(IF(AI41&lt;0,-(AH41-AI41)/AI41,(AH41-AI41)/AI41),"")</f>
        <v/>
      </c>
      <c r="AL41" s="143"/>
      <c r="AM41" s="136"/>
      <c r="AN41" s="13">
        <f t="shared" si="9"/>
        <v>0</v>
      </c>
      <c r="AO41" s="19" t="str">
        <f t="shared" si="10"/>
        <v/>
      </c>
      <c r="AP41" s="122" t="s">
        <v>95</v>
      </c>
      <c r="AQ41" s="22"/>
      <c r="AR41" s="1">
        <f t="shared" si="11"/>
        <v>0</v>
      </c>
      <c r="AS41" s="1">
        <f t="shared" si="12"/>
        <v>0</v>
      </c>
      <c r="AT41" s="1">
        <f t="shared" si="13"/>
        <v>0</v>
      </c>
      <c r="AU41" s="1">
        <f t="shared" si="14"/>
        <v>0</v>
      </c>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2"/>
      <c r="HA41" s="22"/>
      <c r="HB41" s="22"/>
      <c r="HC41" s="22"/>
      <c r="HD41" s="22"/>
      <c r="HE41" s="22"/>
      <c r="HF41" s="22"/>
      <c r="HG41" s="22"/>
      <c r="HH41" s="22"/>
      <c r="HI41" s="22"/>
      <c r="HJ41" s="22"/>
      <c r="HK41" s="22"/>
      <c r="HL41" s="22"/>
      <c r="HM41" s="22"/>
      <c r="HN41" s="22"/>
      <c r="HO41" s="22"/>
      <c r="HP41" s="22"/>
      <c r="HQ41" s="22"/>
      <c r="HR41" s="22"/>
      <c r="HS41" s="22"/>
      <c r="HT41" s="22"/>
      <c r="HU41" s="22"/>
      <c r="HV41" s="22"/>
      <c r="HW41" s="22"/>
      <c r="HX41" s="22"/>
      <c r="HY41" s="22"/>
      <c r="HZ41" s="22"/>
      <c r="IA41" s="22"/>
      <c r="IB41" s="22"/>
      <c r="IC41" s="22"/>
      <c r="ID41" s="22"/>
      <c r="IE41" s="22"/>
      <c r="IF41" s="22"/>
      <c r="IG41" s="22"/>
      <c r="IH41" s="22"/>
      <c r="II41" s="22"/>
      <c r="IJ41" s="22"/>
      <c r="IK41" s="22"/>
      <c r="IL41" s="22"/>
      <c r="IM41" s="22"/>
      <c r="IN41" s="22"/>
      <c r="IO41" s="22"/>
      <c r="IP41" s="22"/>
      <c r="IQ41" s="22"/>
      <c r="IR41" s="22"/>
      <c r="IS41" s="22"/>
      <c r="IT41" s="22"/>
      <c r="IU41" s="22"/>
      <c r="IV41" s="22"/>
      <c r="IW41" s="22"/>
      <c r="IX41" s="22"/>
      <c r="IY41" s="22"/>
      <c r="IZ41" s="22"/>
      <c r="JA41" s="22"/>
      <c r="JB41" s="22"/>
      <c r="JC41" s="22"/>
      <c r="JD41" s="22"/>
      <c r="JE41" s="22"/>
      <c r="JJ41" s="22"/>
      <c r="JK41" s="22"/>
      <c r="JL41" s="22"/>
      <c r="JM41" s="22"/>
      <c r="JN41" s="22"/>
      <c r="JO41" s="22"/>
      <c r="JP41" s="22"/>
      <c r="JQ41" s="22"/>
      <c r="JR41" s="22"/>
      <c r="JS41" s="22"/>
      <c r="JT41" s="22"/>
      <c r="JU41" s="22"/>
      <c r="JV41" s="22"/>
      <c r="JW41" s="22"/>
      <c r="JX41" s="22"/>
      <c r="JY41" s="22"/>
      <c r="JZ41" s="22"/>
      <c r="KA41" s="22"/>
      <c r="KB41" s="22"/>
      <c r="KC41" s="22"/>
      <c r="KD41" s="22"/>
      <c r="KE41" s="22"/>
      <c r="KF41" s="22"/>
      <c r="KG41" s="22"/>
      <c r="KH41" s="22"/>
      <c r="KI41" s="22"/>
      <c r="KJ41" s="22"/>
      <c r="KK41" s="22"/>
      <c r="KL41" s="22"/>
      <c r="KM41" s="22"/>
      <c r="KN41" s="22"/>
      <c r="KO41" s="22"/>
      <c r="KP41" s="22"/>
      <c r="KQ41" s="22"/>
      <c r="KR41" s="22"/>
      <c r="KS41" s="22"/>
      <c r="KT41" s="22"/>
      <c r="KU41" s="22"/>
      <c r="KV41" s="22"/>
      <c r="KW41" s="22"/>
      <c r="KX41" s="22"/>
      <c r="KY41" s="22"/>
      <c r="KZ41" s="22"/>
      <c r="LA41" s="22"/>
      <c r="LB41" s="22"/>
      <c r="LC41" s="22"/>
      <c r="LD41" s="22"/>
      <c r="LE41" s="22"/>
      <c r="LF41" s="22"/>
      <c r="LG41" s="22"/>
      <c r="LH41" s="22"/>
      <c r="LI41" s="22"/>
      <c r="LJ41" s="22"/>
      <c r="LK41" s="22"/>
      <c r="LL41" s="22"/>
      <c r="LM41" s="22"/>
      <c r="LN41" s="22"/>
      <c r="LO41" s="22"/>
      <c r="LP41" s="22"/>
      <c r="LQ41" s="22"/>
      <c r="LR41" s="22"/>
      <c r="LS41" s="22"/>
      <c r="LT41" s="22"/>
      <c r="LU41" s="22"/>
      <c r="LV41" s="22"/>
      <c r="LW41" s="22"/>
      <c r="LX41" s="22"/>
      <c r="LY41" s="22"/>
      <c r="LZ41" s="22"/>
      <c r="MA41" s="22"/>
      <c r="MB41" s="22"/>
      <c r="MC41" s="22"/>
      <c r="MD41" s="22"/>
      <c r="ME41" s="22"/>
      <c r="MF41" s="22"/>
      <c r="MG41" s="22"/>
      <c r="MH41" s="22"/>
      <c r="MI41" s="22"/>
      <c r="MJ41" s="22"/>
      <c r="MK41" s="22"/>
      <c r="ML41" s="22"/>
      <c r="MM41" s="22"/>
      <c r="MN41" s="22"/>
      <c r="MO41" s="22"/>
      <c r="MP41" s="22"/>
      <c r="MQ41" s="22"/>
      <c r="MR41" s="22"/>
      <c r="MS41" s="22"/>
      <c r="MT41" s="22"/>
      <c r="MU41" s="22"/>
      <c r="MV41" s="22"/>
      <c r="MW41" s="22"/>
      <c r="MX41" s="22"/>
      <c r="MY41" s="22"/>
      <c r="MZ41" s="22"/>
      <c r="NA41" s="22"/>
      <c r="NB41" s="22"/>
      <c r="NC41" s="22"/>
      <c r="ND41" s="22"/>
      <c r="NE41" s="22"/>
      <c r="NF41" s="22"/>
      <c r="NG41" s="22"/>
      <c r="NH41" s="22"/>
      <c r="NI41" s="22"/>
      <c r="NJ41" s="22"/>
      <c r="NK41" s="22"/>
      <c r="NL41" s="22"/>
      <c r="NM41" s="22"/>
      <c r="NN41" s="22"/>
      <c r="NO41" s="22"/>
      <c r="NP41" s="22"/>
      <c r="NQ41" s="22"/>
      <c r="NR41" s="22"/>
      <c r="NS41" s="22"/>
      <c r="NT41" s="22"/>
      <c r="NU41" s="22"/>
      <c r="NV41" s="22"/>
      <c r="NW41" s="22"/>
      <c r="NX41" s="22"/>
      <c r="NY41" s="22"/>
      <c r="NZ41" s="22"/>
      <c r="OA41" s="22"/>
      <c r="OB41" s="22"/>
      <c r="OC41" s="22"/>
      <c r="OD41" s="22"/>
      <c r="OE41" s="22"/>
      <c r="OF41" s="22"/>
      <c r="OG41" s="22"/>
      <c r="OH41" s="22"/>
      <c r="OI41" s="22"/>
      <c r="OJ41" s="22"/>
      <c r="OK41" s="22"/>
      <c r="OL41" s="22"/>
      <c r="OM41" s="22"/>
      <c r="ON41" s="22"/>
      <c r="OO41" s="22"/>
      <c r="OP41" s="22"/>
      <c r="OQ41" s="22"/>
      <c r="OR41" s="22"/>
      <c r="OS41" s="22"/>
      <c r="OT41" s="22"/>
      <c r="OU41" s="22"/>
      <c r="OV41" s="22"/>
      <c r="OW41" s="22"/>
      <c r="OX41" s="22"/>
      <c r="OY41" s="22"/>
      <c r="OZ41" s="22"/>
      <c r="PA41" s="22"/>
      <c r="PB41" s="22"/>
      <c r="PC41" s="22"/>
      <c r="PD41" s="22"/>
      <c r="PE41" s="22"/>
      <c r="PF41" s="22"/>
      <c r="PG41" s="22"/>
      <c r="PH41" s="22"/>
      <c r="PI41" s="22"/>
      <c r="PJ41" s="22"/>
      <c r="PK41" s="22"/>
      <c r="PL41" s="22"/>
      <c r="PM41" s="22"/>
      <c r="PN41" s="22"/>
      <c r="PO41" s="22"/>
      <c r="PP41" s="22"/>
      <c r="PQ41" s="22"/>
      <c r="PR41" s="22"/>
      <c r="PS41" s="22"/>
      <c r="PT41" s="22"/>
      <c r="PU41" s="22"/>
      <c r="PV41" s="22"/>
      <c r="PW41" s="22"/>
      <c r="PX41" s="22"/>
      <c r="PY41" s="22"/>
      <c r="PZ41" s="22"/>
      <c r="QA41" s="22"/>
      <c r="QB41" s="22"/>
      <c r="QC41" s="22"/>
      <c r="QD41" s="22"/>
      <c r="QE41" s="22"/>
      <c r="QF41" s="22"/>
      <c r="QG41" s="22"/>
      <c r="QH41" s="22"/>
      <c r="QI41" s="22"/>
      <c r="QJ41" s="22"/>
      <c r="QK41" s="22"/>
      <c r="QL41" s="22"/>
      <c r="QM41" s="22"/>
      <c r="QN41" s="22"/>
      <c r="QO41" s="22"/>
      <c r="QP41" s="22"/>
      <c r="QQ41" s="22"/>
      <c r="QR41" s="22"/>
      <c r="QS41" s="22"/>
      <c r="QT41" s="22"/>
      <c r="QU41" s="22"/>
      <c r="QV41" s="22"/>
      <c r="QW41" s="22"/>
      <c r="QX41" s="22"/>
      <c r="QY41" s="22"/>
      <c r="QZ41" s="22"/>
      <c r="RA41" s="22"/>
      <c r="RB41" s="22"/>
      <c r="RC41" s="22"/>
      <c r="RD41" s="22"/>
      <c r="RE41" s="22"/>
      <c r="RF41" s="22"/>
      <c r="RG41" s="22"/>
      <c r="RH41" s="22"/>
      <c r="RI41" s="22"/>
      <c r="RJ41" s="22"/>
      <c r="RK41" s="22"/>
      <c r="RL41" s="22"/>
      <c r="RM41" s="22"/>
      <c r="RN41" s="22"/>
      <c r="RO41" s="22"/>
      <c r="RP41" s="22"/>
      <c r="RQ41" s="22"/>
      <c r="RR41" s="22"/>
      <c r="RS41" s="22"/>
      <c r="RT41" s="22"/>
      <c r="RU41" s="22"/>
      <c r="RV41" s="22"/>
      <c r="RW41" s="22"/>
      <c r="RX41" s="22"/>
      <c r="RY41" s="22"/>
      <c r="RZ41" s="22"/>
      <c r="SA41" s="22"/>
      <c r="SB41" s="22"/>
      <c r="SC41" s="22"/>
      <c r="SD41" s="22"/>
      <c r="SE41" s="22"/>
      <c r="SF41" s="22"/>
      <c r="SG41" s="22"/>
      <c r="SH41" s="22"/>
      <c r="SI41" s="22"/>
      <c r="SJ41" s="22"/>
      <c r="SK41" s="22"/>
      <c r="SL41" s="22"/>
      <c r="SM41" s="22"/>
      <c r="SN41" s="22"/>
      <c r="SO41" s="22"/>
      <c r="SP41" s="22"/>
      <c r="SQ41" s="22"/>
      <c r="SR41" s="22"/>
      <c r="SS41" s="22"/>
      <c r="ST41" s="22"/>
      <c r="SU41" s="22"/>
      <c r="SV41" s="22"/>
      <c r="SW41" s="22"/>
      <c r="SX41" s="22"/>
      <c r="SY41" s="22"/>
      <c r="SZ41" s="22"/>
      <c r="TA41" s="22"/>
      <c r="TB41" s="22"/>
      <c r="TC41" s="22"/>
      <c r="TD41" s="22"/>
      <c r="TE41" s="22"/>
      <c r="TF41" s="22"/>
      <c r="TG41" s="22"/>
      <c r="TH41" s="22"/>
      <c r="TI41" s="22"/>
      <c r="TJ41" s="22"/>
      <c r="TK41" s="22"/>
      <c r="TL41" s="22"/>
      <c r="TM41" s="22"/>
      <c r="TN41" s="22"/>
      <c r="TO41" s="22"/>
      <c r="TP41" s="22"/>
      <c r="TQ41" s="22"/>
      <c r="TR41" s="22"/>
      <c r="TS41" s="22"/>
      <c r="TT41" s="22"/>
      <c r="TU41" s="22"/>
      <c r="TV41" s="22"/>
      <c r="TW41" s="22"/>
      <c r="TX41" s="22"/>
      <c r="TY41" s="22"/>
      <c r="TZ41" s="22"/>
      <c r="UA41" s="22"/>
      <c r="UB41" s="22"/>
      <c r="UC41" s="22"/>
      <c r="UD41" s="22"/>
      <c r="UE41" s="22"/>
      <c r="UF41" s="22"/>
      <c r="UG41" s="22"/>
      <c r="UH41" s="22"/>
      <c r="UI41" s="22"/>
      <c r="UJ41" s="22"/>
      <c r="UK41" s="22"/>
      <c r="UL41" s="22"/>
      <c r="UM41" s="22"/>
      <c r="UN41" s="22"/>
      <c r="UO41" s="22"/>
      <c r="UP41" s="22"/>
      <c r="UQ41" s="22"/>
      <c r="UR41" s="22"/>
      <c r="US41" s="22"/>
      <c r="UT41" s="22"/>
      <c r="UU41" s="22"/>
      <c r="UV41" s="22"/>
      <c r="UW41" s="22"/>
      <c r="UX41" s="22"/>
      <c r="UY41" s="22"/>
      <c r="UZ41" s="22"/>
      <c r="VA41" s="22"/>
      <c r="VB41" s="22"/>
      <c r="VC41" s="22"/>
      <c r="VD41" s="22"/>
      <c r="VE41" s="22"/>
      <c r="VF41" s="22"/>
      <c r="VG41" s="22"/>
      <c r="VH41" s="22"/>
      <c r="VI41" s="22"/>
      <c r="VJ41" s="22"/>
      <c r="VK41" s="22"/>
      <c r="VL41" s="22"/>
      <c r="VM41" s="22"/>
      <c r="VN41" s="22"/>
      <c r="VO41" s="22"/>
      <c r="VP41" s="22"/>
      <c r="VQ41" s="22"/>
      <c r="VR41" s="22"/>
      <c r="VS41" s="22"/>
      <c r="VT41" s="22"/>
      <c r="VU41" s="22"/>
      <c r="VV41" s="22"/>
      <c r="VW41" s="22"/>
      <c r="VX41" s="22"/>
      <c r="VY41" s="22"/>
      <c r="VZ41" s="22"/>
      <c r="WA41" s="22"/>
      <c r="WB41" s="22"/>
      <c r="WC41" s="22"/>
      <c r="WD41" s="22"/>
      <c r="WE41" s="22"/>
      <c r="WF41" s="22"/>
      <c r="WG41" s="22"/>
      <c r="WH41" s="22"/>
      <c r="WI41" s="22"/>
      <c r="WJ41" s="22"/>
      <c r="WK41" s="22"/>
      <c r="WL41" s="22"/>
      <c r="WM41" s="22"/>
      <c r="WN41" s="22"/>
      <c r="WO41" s="22"/>
      <c r="WP41" s="22"/>
      <c r="WQ41" s="22"/>
      <c r="WR41" s="22"/>
      <c r="WS41" s="22"/>
      <c r="WT41" s="22"/>
      <c r="WU41" s="22"/>
      <c r="WV41" s="22"/>
      <c r="WW41" s="22"/>
      <c r="WX41" s="22"/>
      <c r="WY41" s="22"/>
      <c r="WZ41" s="22"/>
      <c r="XA41" s="22"/>
      <c r="XB41" s="22"/>
      <c r="XC41" s="22"/>
      <c r="XD41" s="22"/>
      <c r="XE41" s="22"/>
      <c r="XF41" s="22"/>
      <c r="XG41" s="22"/>
      <c r="XH41" s="22"/>
      <c r="XI41" s="22"/>
      <c r="XJ41" s="22"/>
      <c r="XK41" s="22"/>
      <c r="XL41" s="22"/>
      <c r="XM41" s="22"/>
      <c r="XN41" s="22"/>
      <c r="XO41" s="22"/>
      <c r="XP41" s="22"/>
      <c r="XQ41" s="22"/>
      <c r="XR41" s="22"/>
      <c r="XS41" s="22"/>
      <c r="XT41" s="22"/>
      <c r="XU41" s="22"/>
      <c r="XV41" s="22"/>
      <c r="XW41" s="22"/>
      <c r="XX41" s="22"/>
      <c r="XY41" s="22"/>
      <c r="XZ41" s="22"/>
      <c r="YA41" s="22"/>
      <c r="YB41" s="22"/>
      <c r="YC41" s="22"/>
      <c r="YD41" s="22"/>
      <c r="YE41" s="22"/>
      <c r="YF41" s="22"/>
      <c r="YG41" s="22"/>
      <c r="YH41" s="22"/>
      <c r="YI41" s="22"/>
      <c r="YJ41" s="22"/>
      <c r="YK41" s="22"/>
      <c r="YL41" s="22"/>
      <c r="YM41" s="22"/>
      <c r="YN41" s="22"/>
      <c r="YO41" s="22"/>
      <c r="YP41" s="22"/>
      <c r="YQ41" s="22"/>
      <c r="YR41" s="22"/>
      <c r="YS41" s="22"/>
      <c r="YT41" s="22"/>
      <c r="YU41" s="22"/>
      <c r="YV41" s="22"/>
      <c r="YW41" s="22"/>
      <c r="YX41" s="22"/>
      <c r="YY41" s="22"/>
      <c r="YZ41" s="22"/>
      <c r="ZA41" s="22"/>
      <c r="ZB41" s="22"/>
      <c r="ZC41" s="22"/>
      <c r="ZD41" s="22"/>
      <c r="ZE41" s="22"/>
      <c r="ZF41" s="22"/>
      <c r="ZG41" s="22"/>
      <c r="ZH41" s="22"/>
      <c r="ZI41" s="22"/>
      <c r="ZJ41" s="22"/>
      <c r="ZK41" s="22"/>
      <c r="ZL41" s="22"/>
      <c r="ZM41" s="22"/>
      <c r="ZN41" s="22"/>
      <c r="ZO41" s="22"/>
      <c r="ZP41" s="22"/>
      <c r="ZQ41" s="22"/>
      <c r="ZR41" s="22"/>
      <c r="ZS41" s="22"/>
      <c r="ZT41" s="22"/>
      <c r="ZU41" s="22"/>
      <c r="ZV41" s="22"/>
      <c r="ZW41" s="22"/>
      <c r="ZX41" s="22"/>
      <c r="ZY41" s="22"/>
      <c r="ZZ41" s="22"/>
      <c r="AAA41" s="22"/>
      <c r="AAB41" s="22"/>
      <c r="AAC41" s="22"/>
      <c r="AAD41" s="22"/>
      <c r="AAE41" s="22"/>
      <c r="AAF41" s="22"/>
      <c r="AAG41" s="22"/>
      <c r="AAH41" s="22"/>
      <c r="AAI41" s="22"/>
      <c r="AAJ41" s="22"/>
      <c r="AAK41" s="22"/>
      <c r="AAL41" s="22"/>
      <c r="AAM41" s="22"/>
      <c r="AAN41" s="22"/>
      <c r="AAO41" s="22"/>
      <c r="AAP41" s="22"/>
      <c r="AAQ41" s="22"/>
      <c r="AAR41" s="22"/>
      <c r="AAS41" s="22"/>
      <c r="AAT41" s="22"/>
      <c r="AAU41" s="22"/>
      <c r="AAV41" s="22"/>
      <c r="AAW41" s="22"/>
      <c r="AAX41" s="22"/>
      <c r="AAY41" s="22"/>
      <c r="AAZ41" s="22"/>
      <c r="ABA41" s="22"/>
      <c r="ABB41" s="22"/>
      <c r="ABC41" s="22"/>
    </row>
    <row r="42" spans="1:731" ht="15" customHeight="1" thickBot="1" x14ac:dyDescent="0.35">
      <c r="A42" s="413"/>
      <c r="B42" s="8" t="s">
        <v>53</v>
      </c>
      <c r="C42" s="29"/>
      <c r="D42" s="9" t="s">
        <v>11</v>
      </c>
      <c r="E42" s="30" t="s">
        <v>54</v>
      </c>
      <c r="F42" s="11">
        <f>J42/$F$2</f>
        <v>247.86666128887501</v>
      </c>
      <c r="G42" s="16">
        <f>K42/$F$2</f>
        <v>288.99273169148017</v>
      </c>
      <c r="H42" s="52">
        <f t="shared" si="64"/>
        <v>-41.126070402605166</v>
      </c>
      <c r="I42" s="14">
        <f t="shared" si="1"/>
        <v>-0.14230832091137194</v>
      </c>
      <c r="J42" s="15">
        <f>73995930.53/1000</f>
        <v>73995.930529999998</v>
      </c>
      <c r="K42" s="16">
        <f>86273345.4621212/1000</f>
        <v>86273.3454621212</v>
      </c>
      <c r="L42" s="52">
        <f t="shared" si="65"/>
        <v>-12277.414932121203</v>
      </c>
      <c r="M42" s="14">
        <f t="shared" si="21"/>
        <v>-0.14230832091137199</v>
      </c>
      <c r="N42" s="15">
        <f>58717254.89/1000</f>
        <v>58717.254890000004</v>
      </c>
      <c r="O42" s="16">
        <f>62548175.4600379/1000</f>
        <v>62548.175460037899</v>
      </c>
      <c r="P42" s="52">
        <f t="shared" si="66"/>
        <v>-3830.9205700378952</v>
      </c>
      <c r="Q42" s="14">
        <f t="shared" si="2"/>
        <v>-6.1247519082078976E-2</v>
      </c>
      <c r="R42" s="15">
        <f>1996714.32/1000</f>
        <v>1996.71432</v>
      </c>
      <c r="S42" s="16">
        <f>231412/1000</f>
        <v>231.41200000000001</v>
      </c>
      <c r="T42" s="52">
        <f t="shared" si="67"/>
        <v>1765.30232</v>
      </c>
      <c r="U42" s="14">
        <f t="shared" si="30"/>
        <v>7.6283957616718236</v>
      </c>
      <c r="V42" s="15">
        <f>35697295.88/1000</f>
        <v>35697.295880000005</v>
      </c>
      <c r="W42" s="16">
        <f>36128051.5275322/1000</f>
        <v>36128.051527532196</v>
      </c>
      <c r="X42" s="52">
        <f t="shared" si="68"/>
        <v>-430.75564753219078</v>
      </c>
      <c r="Y42" s="14">
        <f t="shared" si="4"/>
        <v>-1.1923024611607514E-2</v>
      </c>
      <c r="Z42" s="15">
        <f>25016673.33/1000</f>
        <v>25016.673329999998</v>
      </c>
      <c r="AA42" s="16">
        <f>26651536.2877226/1000</f>
        <v>26651.5362877226</v>
      </c>
      <c r="AB42" s="52">
        <f t="shared" si="69"/>
        <v>-1634.862957722602</v>
      </c>
      <c r="AC42" s="19">
        <f t="shared" si="5"/>
        <v>-6.1342165797613861E-2</v>
      </c>
      <c r="AD42" s="137"/>
      <c r="AE42" s="138"/>
      <c r="AF42" s="108">
        <f t="shared" si="6"/>
        <v>0</v>
      </c>
      <c r="AG42" s="110" t="str">
        <f t="shared" si="7"/>
        <v/>
      </c>
      <c r="AH42" s="143"/>
      <c r="AI42" s="127"/>
      <c r="AJ42" s="108">
        <f t="shared" si="8"/>
        <v>0</v>
      </c>
      <c r="AK42" s="20" t="str">
        <f>IFERROR(IF(AI42&lt;0,-(AH42-AI42)/AI42,(AH42-AI42)/AI42),"")</f>
        <v/>
      </c>
      <c r="AL42" s="142">
        <f>Z42</f>
        <v>25016.673329999998</v>
      </c>
      <c r="AM42" s="133">
        <f>AA42</f>
        <v>26651.5362877226</v>
      </c>
      <c r="AN42" s="13">
        <f t="shared" si="9"/>
        <v>-1634.862957722602</v>
      </c>
      <c r="AO42" s="19">
        <f t="shared" si="10"/>
        <v>-6.1342165797613861E-2</v>
      </c>
      <c r="AP42" s="178" t="s">
        <v>99</v>
      </c>
      <c r="AQ42" s="22"/>
      <c r="AR42" s="1">
        <f t="shared" si="11"/>
        <v>0</v>
      </c>
      <c r="AS42" s="1">
        <f t="shared" si="12"/>
        <v>-3.5521690006135032E-4</v>
      </c>
      <c r="AT42" s="1">
        <f t="shared" si="13"/>
        <v>0</v>
      </c>
      <c r="AU42" s="1">
        <f t="shared" si="14"/>
        <v>0</v>
      </c>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c r="FT42" s="22"/>
      <c r="FU42" s="22"/>
      <c r="FV42" s="22"/>
      <c r="FW42" s="22"/>
      <c r="FX42" s="22"/>
      <c r="FY42" s="22"/>
      <c r="FZ42" s="22"/>
      <c r="GA42" s="22"/>
      <c r="GB42" s="22"/>
      <c r="GC42" s="22"/>
      <c r="GD42" s="22"/>
      <c r="GE42" s="22"/>
      <c r="GF42" s="22"/>
      <c r="GG42" s="22"/>
      <c r="GH42" s="22"/>
      <c r="GI42" s="22"/>
      <c r="GJ42" s="22"/>
      <c r="GK42" s="22"/>
      <c r="GL42" s="22"/>
      <c r="GM42" s="22"/>
      <c r="GN42" s="22"/>
      <c r="GO42" s="22"/>
      <c r="GP42" s="22"/>
      <c r="GQ42" s="22"/>
      <c r="GR42" s="22"/>
      <c r="GS42" s="22"/>
      <c r="GT42" s="22"/>
      <c r="GU42" s="22"/>
      <c r="GV42" s="22"/>
      <c r="GW42" s="22"/>
      <c r="GX42" s="22"/>
      <c r="GY42" s="22"/>
      <c r="GZ42" s="22"/>
      <c r="HA42" s="22"/>
      <c r="HB42" s="22"/>
      <c r="HC42" s="22"/>
      <c r="HD42" s="22"/>
      <c r="HE42" s="22"/>
      <c r="HF42" s="22"/>
      <c r="HG42" s="22"/>
      <c r="HH42" s="22"/>
      <c r="HI42" s="22"/>
      <c r="HJ42" s="22"/>
      <c r="HK42" s="22"/>
      <c r="HL42" s="22"/>
      <c r="HM42" s="22"/>
      <c r="HN42" s="22"/>
      <c r="HO42" s="22"/>
      <c r="HP42" s="22"/>
      <c r="HQ42" s="22"/>
      <c r="HR42" s="22"/>
      <c r="HS42" s="22"/>
      <c r="HT42" s="22"/>
      <c r="HU42" s="22"/>
      <c r="HV42" s="22"/>
      <c r="HW42" s="22"/>
      <c r="HX42" s="22"/>
      <c r="HY42" s="22"/>
      <c r="HZ42" s="22"/>
      <c r="IA42" s="22"/>
      <c r="IB42" s="22"/>
      <c r="IC42" s="22"/>
      <c r="ID42" s="22"/>
      <c r="IE42" s="22"/>
      <c r="IF42" s="22"/>
      <c r="IG42" s="22"/>
      <c r="IH42" s="22"/>
      <c r="II42" s="22"/>
      <c r="IJ42" s="22"/>
      <c r="IK42" s="22"/>
      <c r="IL42" s="22"/>
      <c r="IM42" s="22"/>
      <c r="IN42" s="22"/>
      <c r="IO42" s="22"/>
      <c r="IP42" s="22"/>
      <c r="IQ42" s="22"/>
      <c r="IR42" s="22"/>
      <c r="IS42" s="22"/>
      <c r="IT42" s="22"/>
      <c r="IU42" s="22"/>
      <c r="IV42" s="22"/>
      <c r="IW42" s="22"/>
      <c r="IX42" s="22"/>
      <c r="IY42" s="22"/>
      <c r="IZ42" s="22"/>
      <c r="JA42" s="22"/>
      <c r="JB42" s="22"/>
      <c r="JC42" s="22"/>
      <c r="JD42" s="22"/>
      <c r="JE42" s="22"/>
      <c r="JJ42" s="22"/>
      <c r="JK42" s="22"/>
      <c r="JL42" s="22"/>
      <c r="JM42" s="22"/>
      <c r="JN42" s="22"/>
      <c r="JO42" s="22"/>
      <c r="JP42" s="22"/>
      <c r="JQ42" s="22"/>
      <c r="JR42" s="22"/>
      <c r="JS42" s="22"/>
      <c r="JT42" s="22"/>
      <c r="JU42" s="22"/>
      <c r="JV42" s="22"/>
      <c r="JW42" s="22"/>
      <c r="JX42" s="22"/>
      <c r="JY42" s="22"/>
      <c r="JZ42" s="22"/>
      <c r="KA42" s="22"/>
      <c r="KB42" s="22"/>
      <c r="KC42" s="22"/>
      <c r="KD42" s="22"/>
      <c r="KE42" s="22"/>
      <c r="KF42" s="22"/>
      <c r="KG42" s="22"/>
      <c r="KH42" s="22"/>
      <c r="KI42" s="22"/>
      <c r="KJ42" s="22"/>
      <c r="KK42" s="22"/>
      <c r="KL42" s="22"/>
      <c r="KM42" s="22"/>
      <c r="KN42" s="22"/>
      <c r="KO42" s="22"/>
      <c r="KP42" s="22"/>
      <c r="KQ42" s="22"/>
      <c r="KR42" s="22"/>
      <c r="KS42" s="22"/>
      <c r="KT42" s="22"/>
      <c r="KU42" s="22"/>
      <c r="KV42" s="22"/>
      <c r="KW42" s="22"/>
      <c r="KX42" s="22"/>
      <c r="KY42" s="22"/>
      <c r="KZ42" s="22"/>
      <c r="LA42" s="22"/>
      <c r="LB42" s="22"/>
      <c r="LC42" s="22"/>
      <c r="LD42" s="22"/>
      <c r="LE42" s="22"/>
      <c r="LF42" s="22"/>
      <c r="LG42" s="22"/>
      <c r="LH42" s="22"/>
      <c r="LI42" s="22"/>
      <c r="LJ42" s="22"/>
      <c r="LK42" s="22"/>
      <c r="LL42" s="22"/>
      <c r="LM42" s="22"/>
      <c r="LN42" s="22"/>
      <c r="LO42" s="22"/>
      <c r="LP42" s="22"/>
      <c r="LQ42" s="22"/>
      <c r="LR42" s="22"/>
      <c r="LS42" s="22"/>
      <c r="LT42" s="22"/>
      <c r="LU42" s="22"/>
      <c r="LV42" s="22"/>
      <c r="LW42" s="22"/>
      <c r="LX42" s="22"/>
      <c r="LY42" s="22"/>
      <c r="LZ42" s="22"/>
      <c r="MA42" s="22"/>
      <c r="MB42" s="22"/>
      <c r="MC42" s="22"/>
      <c r="MD42" s="22"/>
      <c r="ME42" s="22"/>
      <c r="MF42" s="22"/>
      <c r="MG42" s="22"/>
      <c r="MH42" s="22"/>
      <c r="MI42" s="22"/>
      <c r="MJ42" s="22"/>
      <c r="MK42" s="22"/>
      <c r="ML42" s="22"/>
      <c r="MM42" s="22"/>
      <c r="MN42" s="22"/>
      <c r="MO42" s="22"/>
      <c r="MP42" s="22"/>
      <c r="MQ42" s="22"/>
      <c r="MR42" s="22"/>
      <c r="MS42" s="22"/>
      <c r="MT42" s="22"/>
      <c r="MU42" s="22"/>
      <c r="MV42" s="22"/>
      <c r="MW42" s="22"/>
      <c r="MX42" s="22"/>
      <c r="MY42" s="22"/>
      <c r="MZ42" s="22"/>
      <c r="NA42" s="22"/>
      <c r="NB42" s="22"/>
      <c r="NC42" s="22"/>
      <c r="ND42" s="22"/>
      <c r="NE42" s="22"/>
      <c r="NF42" s="22"/>
      <c r="NG42" s="22"/>
      <c r="NH42" s="22"/>
      <c r="NI42" s="22"/>
      <c r="NJ42" s="22"/>
      <c r="NK42" s="22"/>
      <c r="NL42" s="22"/>
      <c r="NM42" s="22"/>
      <c r="NN42" s="22"/>
      <c r="NO42" s="22"/>
      <c r="NP42" s="22"/>
      <c r="NQ42" s="22"/>
      <c r="NR42" s="22"/>
      <c r="NS42" s="22"/>
      <c r="NT42" s="22"/>
      <c r="NU42" s="22"/>
      <c r="NV42" s="22"/>
      <c r="NW42" s="22"/>
      <c r="NX42" s="22"/>
      <c r="NY42" s="22"/>
      <c r="NZ42" s="22"/>
      <c r="OA42" s="22"/>
      <c r="OB42" s="22"/>
      <c r="OC42" s="22"/>
      <c r="OD42" s="22"/>
      <c r="OE42" s="22"/>
      <c r="OF42" s="22"/>
      <c r="OG42" s="22"/>
      <c r="OH42" s="22"/>
      <c r="OI42" s="22"/>
      <c r="OJ42" s="22"/>
      <c r="OK42" s="22"/>
      <c r="OL42" s="22"/>
      <c r="OM42" s="22"/>
      <c r="ON42" s="22"/>
      <c r="OO42" s="22"/>
      <c r="OP42" s="22"/>
      <c r="OQ42" s="22"/>
      <c r="OR42" s="22"/>
      <c r="OS42" s="22"/>
      <c r="OT42" s="22"/>
      <c r="OU42" s="22"/>
      <c r="OV42" s="22"/>
      <c r="OW42" s="22"/>
      <c r="OX42" s="22"/>
      <c r="OY42" s="22"/>
      <c r="OZ42" s="22"/>
      <c r="PA42" s="22"/>
      <c r="PB42" s="22"/>
      <c r="PC42" s="22"/>
      <c r="PD42" s="22"/>
      <c r="PE42" s="22"/>
      <c r="PF42" s="22"/>
      <c r="PG42" s="22"/>
      <c r="PH42" s="22"/>
      <c r="PI42" s="22"/>
      <c r="PJ42" s="22"/>
      <c r="PK42" s="22"/>
      <c r="PL42" s="22"/>
      <c r="PM42" s="22"/>
      <c r="PN42" s="22"/>
      <c r="PO42" s="22"/>
      <c r="PP42" s="22"/>
      <c r="PQ42" s="22"/>
      <c r="PR42" s="22"/>
      <c r="PS42" s="22"/>
      <c r="PT42" s="22"/>
      <c r="PU42" s="22"/>
      <c r="PV42" s="22"/>
      <c r="PW42" s="22"/>
      <c r="PX42" s="22"/>
      <c r="PY42" s="22"/>
      <c r="PZ42" s="22"/>
      <c r="QA42" s="22"/>
      <c r="QB42" s="22"/>
      <c r="QC42" s="22"/>
      <c r="QD42" s="22"/>
      <c r="QE42" s="22"/>
      <c r="QF42" s="22"/>
      <c r="QG42" s="22"/>
      <c r="QH42" s="22"/>
      <c r="QI42" s="22"/>
      <c r="QJ42" s="22"/>
      <c r="QK42" s="22"/>
      <c r="QL42" s="22"/>
      <c r="QM42" s="22"/>
      <c r="QN42" s="22"/>
      <c r="QO42" s="22"/>
      <c r="QP42" s="22"/>
      <c r="QQ42" s="22"/>
      <c r="QR42" s="22"/>
      <c r="QS42" s="22"/>
      <c r="QT42" s="22"/>
      <c r="QU42" s="22"/>
      <c r="QV42" s="22"/>
      <c r="QW42" s="22"/>
      <c r="QX42" s="22"/>
      <c r="QY42" s="22"/>
      <c r="QZ42" s="22"/>
      <c r="RA42" s="22"/>
      <c r="RB42" s="22"/>
      <c r="RC42" s="22"/>
      <c r="RD42" s="22"/>
      <c r="RE42" s="22"/>
      <c r="RF42" s="22"/>
      <c r="RG42" s="22"/>
      <c r="RH42" s="22"/>
      <c r="RI42" s="22"/>
      <c r="RJ42" s="22"/>
      <c r="RK42" s="22"/>
      <c r="RL42" s="22"/>
      <c r="RM42" s="22"/>
      <c r="RN42" s="22"/>
      <c r="RO42" s="22"/>
      <c r="RP42" s="22"/>
      <c r="RQ42" s="22"/>
      <c r="RR42" s="22"/>
      <c r="RS42" s="22"/>
      <c r="RT42" s="22"/>
      <c r="RU42" s="22"/>
      <c r="RV42" s="22"/>
      <c r="RW42" s="22"/>
      <c r="RX42" s="22"/>
      <c r="RY42" s="22"/>
      <c r="RZ42" s="22"/>
      <c r="SA42" s="22"/>
      <c r="SB42" s="22"/>
      <c r="SC42" s="22"/>
      <c r="SD42" s="22"/>
      <c r="SE42" s="22"/>
      <c r="SF42" s="22"/>
      <c r="SG42" s="22"/>
      <c r="SH42" s="22"/>
      <c r="SI42" s="22"/>
      <c r="SJ42" s="22"/>
      <c r="SK42" s="22"/>
      <c r="SL42" s="22"/>
      <c r="SM42" s="22"/>
      <c r="SN42" s="22"/>
      <c r="SO42" s="22"/>
      <c r="SP42" s="22"/>
      <c r="SQ42" s="22"/>
      <c r="SR42" s="22"/>
      <c r="SS42" s="22"/>
      <c r="ST42" s="22"/>
      <c r="SU42" s="22"/>
      <c r="SV42" s="22"/>
      <c r="SW42" s="22"/>
      <c r="SX42" s="22"/>
      <c r="SY42" s="22"/>
      <c r="SZ42" s="22"/>
      <c r="TA42" s="22"/>
      <c r="TB42" s="22"/>
      <c r="TC42" s="22"/>
      <c r="TD42" s="22"/>
      <c r="TE42" s="22"/>
      <c r="TF42" s="22"/>
      <c r="TG42" s="22"/>
      <c r="TH42" s="22"/>
      <c r="TI42" s="22"/>
      <c r="TJ42" s="22"/>
      <c r="TK42" s="22"/>
      <c r="TL42" s="22"/>
      <c r="TM42" s="22"/>
      <c r="TN42" s="22"/>
      <c r="TO42" s="22"/>
      <c r="TP42" s="22"/>
      <c r="TQ42" s="22"/>
      <c r="TR42" s="22"/>
      <c r="TS42" s="22"/>
      <c r="TT42" s="22"/>
      <c r="TU42" s="22"/>
      <c r="TV42" s="22"/>
      <c r="TW42" s="22"/>
      <c r="TX42" s="22"/>
      <c r="TY42" s="22"/>
      <c r="TZ42" s="22"/>
      <c r="UA42" s="22"/>
      <c r="UB42" s="22"/>
      <c r="UC42" s="22"/>
      <c r="UD42" s="22"/>
      <c r="UE42" s="22"/>
      <c r="UF42" s="22"/>
      <c r="UG42" s="22"/>
      <c r="UH42" s="22"/>
      <c r="UI42" s="22"/>
      <c r="UJ42" s="22"/>
      <c r="UK42" s="22"/>
      <c r="UL42" s="22"/>
      <c r="UM42" s="22"/>
      <c r="UN42" s="22"/>
      <c r="UO42" s="22"/>
      <c r="UP42" s="22"/>
      <c r="UQ42" s="22"/>
      <c r="UR42" s="22"/>
      <c r="US42" s="22"/>
      <c r="UT42" s="22"/>
      <c r="UU42" s="22"/>
      <c r="UV42" s="22"/>
      <c r="UW42" s="22"/>
      <c r="UX42" s="22"/>
      <c r="UY42" s="22"/>
      <c r="UZ42" s="22"/>
      <c r="VA42" s="22"/>
      <c r="VB42" s="22"/>
      <c r="VC42" s="22"/>
      <c r="VD42" s="22"/>
      <c r="VE42" s="22"/>
      <c r="VF42" s="22"/>
      <c r="VG42" s="22"/>
      <c r="VH42" s="22"/>
      <c r="VI42" s="22"/>
      <c r="VJ42" s="22"/>
      <c r="VK42" s="22"/>
      <c r="VL42" s="22"/>
      <c r="VM42" s="22"/>
      <c r="VN42" s="22"/>
      <c r="VO42" s="22"/>
      <c r="VP42" s="22"/>
      <c r="VQ42" s="22"/>
      <c r="VR42" s="22"/>
      <c r="VS42" s="22"/>
      <c r="VT42" s="22"/>
      <c r="VU42" s="22"/>
      <c r="VV42" s="22"/>
      <c r="VW42" s="22"/>
      <c r="VX42" s="22"/>
      <c r="VY42" s="22"/>
      <c r="VZ42" s="22"/>
      <c r="WA42" s="22"/>
      <c r="WB42" s="22"/>
      <c r="WC42" s="22"/>
      <c r="WD42" s="22"/>
      <c r="WE42" s="22"/>
      <c r="WF42" s="22"/>
      <c r="WG42" s="22"/>
      <c r="WH42" s="22"/>
      <c r="WI42" s="22"/>
      <c r="WJ42" s="22"/>
      <c r="WK42" s="22"/>
      <c r="WL42" s="22"/>
      <c r="WM42" s="22"/>
      <c r="WN42" s="22"/>
      <c r="WO42" s="22"/>
      <c r="WP42" s="22"/>
      <c r="WQ42" s="22"/>
      <c r="WR42" s="22"/>
      <c r="WS42" s="22"/>
      <c r="WT42" s="22"/>
      <c r="WU42" s="22"/>
      <c r="WV42" s="22"/>
      <c r="WW42" s="22"/>
      <c r="WX42" s="22"/>
      <c r="WY42" s="22"/>
      <c r="WZ42" s="22"/>
      <c r="XA42" s="22"/>
      <c r="XB42" s="22"/>
      <c r="XC42" s="22"/>
      <c r="XD42" s="22"/>
      <c r="XE42" s="22"/>
      <c r="XF42" s="22"/>
      <c r="XG42" s="22"/>
      <c r="XH42" s="22"/>
      <c r="XI42" s="22"/>
      <c r="XJ42" s="22"/>
      <c r="XK42" s="22"/>
      <c r="XL42" s="22"/>
      <c r="XM42" s="22"/>
      <c r="XN42" s="22"/>
      <c r="XO42" s="22"/>
      <c r="XP42" s="22"/>
      <c r="XQ42" s="22"/>
      <c r="XR42" s="22"/>
      <c r="XS42" s="22"/>
      <c r="XT42" s="22"/>
      <c r="XU42" s="22"/>
      <c r="XV42" s="22"/>
      <c r="XW42" s="22"/>
      <c r="XX42" s="22"/>
      <c r="XY42" s="22"/>
      <c r="XZ42" s="22"/>
      <c r="YA42" s="22"/>
      <c r="YB42" s="22"/>
      <c r="YC42" s="22"/>
      <c r="YD42" s="22"/>
      <c r="YE42" s="22"/>
      <c r="YF42" s="22"/>
      <c r="YG42" s="22"/>
      <c r="YH42" s="22"/>
      <c r="YI42" s="22"/>
      <c r="YJ42" s="22"/>
      <c r="YK42" s="22"/>
      <c r="YL42" s="22"/>
      <c r="YM42" s="22"/>
      <c r="YN42" s="22"/>
      <c r="YO42" s="22"/>
      <c r="YP42" s="22"/>
      <c r="YQ42" s="22"/>
      <c r="YR42" s="22"/>
      <c r="YS42" s="22"/>
      <c r="YT42" s="22"/>
      <c r="YU42" s="22"/>
      <c r="YV42" s="22"/>
      <c r="YW42" s="22"/>
      <c r="YX42" s="22"/>
      <c r="YY42" s="22"/>
      <c r="YZ42" s="22"/>
      <c r="ZA42" s="22"/>
      <c r="ZB42" s="22"/>
      <c r="ZC42" s="22"/>
      <c r="ZD42" s="22"/>
      <c r="ZE42" s="22"/>
      <c r="ZF42" s="22"/>
      <c r="ZG42" s="22"/>
      <c r="ZH42" s="22"/>
      <c r="ZI42" s="22"/>
      <c r="ZJ42" s="22"/>
      <c r="ZK42" s="22"/>
      <c r="ZL42" s="22"/>
      <c r="ZM42" s="22"/>
      <c r="ZN42" s="22"/>
      <c r="ZO42" s="22"/>
      <c r="ZP42" s="22"/>
      <c r="ZQ42" s="22"/>
      <c r="ZR42" s="22"/>
      <c r="ZS42" s="22"/>
      <c r="ZT42" s="22"/>
      <c r="ZU42" s="22"/>
      <c r="ZV42" s="22"/>
      <c r="ZW42" s="22"/>
      <c r="ZX42" s="22"/>
      <c r="ZY42" s="22"/>
      <c r="ZZ42" s="22"/>
      <c r="AAA42" s="22"/>
      <c r="AAB42" s="22"/>
      <c r="AAC42" s="22"/>
      <c r="AAD42" s="22"/>
      <c r="AAE42" s="22"/>
      <c r="AAF42" s="22"/>
      <c r="AAG42" s="22"/>
      <c r="AAH42" s="22"/>
      <c r="AAI42" s="22"/>
      <c r="AAJ42" s="22"/>
      <c r="AAK42" s="22"/>
      <c r="AAL42" s="22"/>
      <c r="AAM42" s="22"/>
      <c r="AAN42" s="22"/>
      <c r="AAO42" s="22"/>
      <c r="AAP42" s="22"/>
      <c r="AAQ42" s="22"/>
      <c r="AAR42" s="22"/>
      <c r="AAS42" s="22"/>
      <c r="AAT42" s="22"/>
      <c r="AAU42" s="22"/>
      <c r="AAV42" s="22"/>
      <c r="AAW42" s="22"/>
      <c r="AAX42" s="22"/>
      <c r="AAY42" s="22"/>
      <c r="AAZ42" s="22"/>
      <c r="ABA42" s="22"/>
      <c r="ABB42" s="22"/>
      <c r="ABC42" s="22"/>
    </row>
    <row r="43" spans="1:731" s="44" customFormat="1" ht="15" customHeight="1" thickBot="1" x14ac:dyDescent="0.35">
      <c r="A43" s="284"/>
      <c r="B43" s="71" t="s">
        <v>56</v>
      </c>
      <c r="C43" s="72"/>
      <c r="D43" s="255"/>
      <c r="E43" s="37" t="s">
        <v>57</v>
      </c>
      <c r="F43" s="285">
        <f>SUM(F41:F42)</f>
        <v>247.86666128887501</v>
      </c>
      <c r="G43" s="287">
        <f>SUM(G41:G42)</f>
        <v>288.99273169148017</v>
      </c>
      <c r="H43" s="286">
        <f t="shared" si="64"/>
        <v>-41.126070402605166</v>
      </c>
      <c r="I43" s="330">
        <f t="shared" si="1"/>
        <v>-0.14230832091137194</v>
      </c>
      <c r="J43" s="287">
        <f>SUM(J41:J42)</f>
        <v>73995.930529999998</v>
      </c>
      <c r="K43" s="287">
        <f>SUM(K41:K42)</f>
        <v>86273.3454621212</v>
      </c>
      <c r="L43" s="286">
        <f t="shared" si="65"/>
        <v>-12277.414932121203</v>
      </c>
      <c r="M43" s="330">
        <f t="shared" si="21"/>
        <v>-0.14230832091137199</v>
      </c>
      <c r="N43" s="287">
        <f>SUM(N41:N42)</f>
        <v>58717.254890000004</v>
      </c>
      <c r="O43" s="287">
        <f>SUM(O41:O42)</f>
        <v>62548.175460037899</v>
      </c>
      <c r="P43" s="286">
        <f t="shared" si="66"/>
        <v>-3830.9205700378952</v>
      </c>
      <c r="Q43" s="330">
        <f t="shared" si="2"/>
        <v>-6.1247519082078976E-2</v>
      </c>
      <c r="R43" s="287">
        <f>SUM(R41:R42)</f>
        <v>1996.71432</v>
      </c>
      <c r="S43" s="287">
        <f>SUM(S41:S42)</f>
        <v>231.41200000000001</v>
      </c>
      <c r="T43" s="286">
        <f t="shared" si="67"/>
        <v>1765.30232</v>
      </c>
      <c r="U43" s="330">
        <f t="shared" si="30"/>
        <v>7.6283957616718236</v>
      </c>
      <c r="V43" s="287">
        <f>SUM(V41:V42)</f>
        <v>35697.295880000005</v>
      </c>
      <c r="W43" s="287">
        <f>SUM(W41:W42)</f>
        <v>36128.051527532196</v>
      </c>
      <c r="X43" s="286">
        <f t="shared" si="68"/>
        <v>-430.75564753219078</v>
      </c>
      <c r="Y43" s="330">
        <f t="shared" si="4"/>
        <v>-1.1923024611607514E-2</v>
      </c>
      <c r="Z43" s="287">
        <f>SUM(Z41:Z42)</f>
        <v>25016.673329999998</v>
      </c>
      <c r="AA43" s="287">
        <f>SUM(AA41:AA42)</f>
        <v>26651.5362877226</v>
      </c>
      <c r="AB43" s="286">
        <f t="shared" si="69"/>
        <v>-1634.862957722602</v>
      </c>
      <c r="AC43" s="331">
        <f t="shared" si="5"/>
        <v>-6.1342165797613861E-2</v>
      </c>
      <c r="AD43" s="343">
        <f>SUM(AD41:AD42)</f>
        <v>0</v>
      </c>
      <c r="AE43" s="343">
        <f>SUM(AE41:AE42)</f>
        <v>0</v>
      </c>
      <c r="AF43" s="107">
        <f t="shared" si="6"/>
        <v>0</v>
      </c>
      <c r="AG43" s="109" t="str">
        <f t="shared" si="7"/>
        <v/>
      </c>
      <c r="AH43" s="344">
        <f>SUM(AH41:AH42)</f>
        <v>0</v>
      </c>
      <c r="AI43" s="344">
        <f>SUM(AI41:AI42)</f>
        <v>0</v>
      </c>
      <c r="AJ43" s="345">
        <f t="shared" si="8"/>
        <v>0</v>
      </c>
      <c r="AK43" s="344" t="str">
        <f>IFERROR(IF(AI43&lt;0,-(AH43-AI43)/AI43,(AH43-AI43)/AI43),"")</f>
        <v/>
      </c>
      <c r="AL43" s="344">
        <f>SUM(AL41:AL42)</f>
        <v>25016.673329999998</v>
      </c>
      <c r="AM43" s="344">
        <f>SUM(AM41:AM42)</f>
        <v>26651.5362877226</v>
      </c>
      <c r="AN43" s="345">
        <f t="shared" si="9"/>
        <v>-1634.862957722602</v>
      </c>
      <c r="AO43" s="176">
        <f t="shared" si="10"/>
        <v>-6.1342165797613861E-2</v>
      </c>
      <c r="AP43" s="319"/>
      <c r="AQ43" s="22"/>
      <c r="AR43" s="1">
        <f t="shared" si="11"/>
        <v>0</v>
      </c>
      <c r="AS43" s="1">
        <f t="shared" si="12"/>
        <v>-3.5521690006135032E-4</v>
      </c>
      <c r="AT43" s="1">
        <f t="shared" si="13"/>
        <v>0</v>
      </c>
      <c r="AU43" s="1">
        <f t="shared" si="14"/>
        <v>0</v>
      </c>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22"/>
      <c r="GQ43" s="22"/>
      <c r="GR43" s="22"/>
      <c r="GS43" s="22"/>
      <c r="GT43" s="22"/>
      <c r="GU43" s="22"/>
      <c r="GV43" s="22"/>
      <c r="GW43" s="22"/>
      <c r="GX43" s="22"/>
      <c r="GY43" s="22"/>
      <c r="GZ43" s="22"/>
      <c r="HA43" s="22"/>
      <c r="HB43" s="22"/>
      <c r="HC43" s="22"/>
      <c r="HD43" s="22"/>
      <c r="HE43" s="22"/>
      <c r="HF43" s="22"/>
      <c r="HG43" s="22"/>
      <c r="HH43" s="22"/>
      <c r="HI43" s="22"/>
      <c r="HJ43" s="22"/>
      <c r="HK43" s="22"/>
      <c r="HL43" s="22"/>
      <c r="HM43" s="22"/>
      <c r="HN43" s="22"/>
      <c r="HO43" s="22"/>
      <c r="HP43" s="22"/>
      <c r="HQ43" s="22"/>
      <c r="HR43" s="22"/>
      <c r="HS43" s="22"/>
      <c r="HT43" s="22"/>
      <c r="HU43" s="22"/>
      <c r="HV43" s="22"/>
      <c r="HW43" s="22"/>
      <c r="HX43" s="22"/>
      <c r="HY43" s="22"/>
      <c r="HZ43" s="22"/>
      <c r="IA43" s="22"/>
      <c r="IB43" s="22"/>
      <c r="IC43" s="22"/>
      <c r="ID43" s="22"/>
      <c r="IE43" s="22"/>
      <c r="IF43" s="22"/>
      <c r="IG43" s="22"/>
      <c r="IH43" s="22"/>
      <c r="II43" s="22"/>
      <c r="IJ43" s="22"/>
      <c r="IK43" s="22"/>
      <c r="IL43" s="22"/>
      <c r="IM43" s="22"/>
      <c r="IN43" s="22"/>
      <c r="IO43" s="22"/>
      <c r="IP43" s="22"/>
      <c r="IQ43" s="22"/>
      <c r="IR43" s="22"/>
      <c r="IS43" s="22"/>
      <c r="IT43" s="22"/>
      <c r="IU43" s="22"/>
      <c r="IV43" s="22"/>
      <c r="IW43" s="22"/>
      <c r="IX43" s="22"/>
      <c r="IY43" s="22"/>
      <c r="IZ43" s="22"/>
      <c r="JA43" s="22"/>
      <c r="JB43" s="22"/>
      <c r="JC43" s="22"/>
      <c r="JD43" s="22"/>
      <c r="JE43" s="22"/>
      <c r="JF43" s="69"/>
      <c r="JG43" s="69"/>
      <c r="JH43" s="69"/>
      <c r="JI43" s="69"/>
      <c r="JJ43" s="22"/>
      <c r="JK43" s="22"/>
      <c r="JL43" s="22"/>
      <c r="JM43" s="22"/>
      <c r="JN43" s="22"/>
      <c r="JO43" s="22"/>
      <c r="JP43" s="22"/>
      <c r="JQ43" s="22"/>
      <c r="JR43" s="22"/>
      <c r="JS43" s="22"/>
      <c r="JT43" s="22"/>
      <c r="JU43" s="22"/>
      <c r="JV43" s="22"/>
      <c r="JW43" s="22"/>
      <c r="JX43" s="22"/>
      <c r="JY43" s="22"/>
      <c r="JZ43" s="22"/>
      <c r="KA43" s="22"/>
      <c r="KB43" s="22"/>
      <c r="KC43" s="22"/>
      <c r="KD43" s="22"/>
      <c r="KE43" s="22"/>
      <c r="KF43" s="22"/>
      <c r="KG43" s="22"/>
      <c r="KH43" s="22"/>
      <c r="KI43" s="22"/>
      <c r="KJ43" s="22"/>
      <c r="KK43" s="22"/>
      <c r="KL43" s="22"/>
      <c r="KM43" s="22"/>
      <c r="KN43" s="22"/>
      <c r="KO43" s="22"/>
      <c r="KP43" s="22"/>
      <c r="KQ43" s="22"/>
      <c r="KR43" s="22"/>
      <c r="KS43" s="22"/>
      <c r="KT43" s="22"/>
      <c r="KU43" s="22"/>
      <c r="KV43" s="22"/>
      <c r="KW43" s="22"/>
      <c r="KX43" s="22"/>
      <c r="KY43" s="22"/>
      <c r="KZ43" s="22"/>
      <c r="LA43" s="22"/>
      <c r="LB43" s="22"/>
      <c r="LC43" s="22"/>
      <c r="LD43" s="22"/>
      <c r="LE43" s="22"/>
      <c r="LF43" s="22"/>
      <c r="LG43" s="22"/>
      <c r="LH43" s="22"/>
      <c r="LI43" s="22"/>
      <c r="LJ43" s="22"/>
      <c r="LK43" s="22"/>
      <c r="LL43" s="22"/>
      <c r="LM43" s="22"/>
      <c r="LN43" s="22"/>
      <c r="LO43" s="22"/>
      <c r="LP43" s="22"/>
      <c r="LQ43" s="22"/>
      <c r="LR43" s="22"/>
      <c r="LS43" s="22"/>
      <c r="LT43" s="22"/>
      <c r="LU43" s="22"/>
      <c r="LV43" s="22"/>
      <c r="LW43" s="22"/>
      <c r="LX43" s="22"/>
      <c r="LY43" s="22"/>
      <c r="LZ43" s="22"/>
      <c r="MA43" s="22"/>
      <c r="MB43" s="22"/>
      <c r="MC43" s="22"/>
      <c r="MD43" s="22"/>
      <c r="ME43" s="22"/>
      <c r="MF43" s="22"/>
      <c r="MG43" s="22"/>
      <c r="MH43" s="22"/>
      <c r="MI43" s="22"/>
      <c r="MJ43" s="22"/>
      <c r="MK43" s="22"/>
      <c r="ML43" s="22"/>
      <c r="MM43" s="22"/>
      <c r="MN43" s="22"/>
      <c r="MO43" s="22"/>
      <c r="MP43" s="22"/>
      <c r="MQ43" s="22"/>
      <c r="MR43" s="22"/>
      <c r="MS43" s="22"/>
      <c r="MT43" s="22"/>
      <c r="MU43" s="22"/>
      <c r="MV43" s="22"/>
      <c r="MW43" s="22"/>
      <c r="MX43" s="22"/>
      <c r="MY43" s="22"/>
      <c r="MZ43" s="22"/>
      <c r="NA43" s="22"/>
      <c r="NB43" s="22"/>
      <c r="NC43" s="22"/>
      <c r="ND43" s="22"/>
      <c r="NE43" s="22"/>
      <c r="NF43" s="22"/>
      <c r="NG43" s="22"/>
      <c r="NH43" s="22"/>
      <c r="NI43" s="22"/>
      <c r="NJ43" s="22"/>
      <c r="NK43" s="22"/>
      <c r="NL43" s="22"/>
      <c r="NM43" s="22"/>
      <c r="NN43" s="22"/>
      <c r="NO43" s="22"/>
      <c r="NP43" s="22"/>
      <c r="NQ43" s="22"/>
      <c r="NR43" s="22"/>
      <c r="NS43" s="22"/>
      <c r="NT43" s="22"/>
      <c r="NU43" s="22"/>
      <c r="NV43" s="22"/>
      <c r="NW43" s="22"/>
      <c r="NX43" s="22"/>
      <c r="NY43" s="22"/>
      <c r="NZ43" s="22"/>
      <c r="OA43" s="22"/>
      <c r="OB43" s="22"/>
      <c r="OC43" s="22"/>
      <c r="OD43" s="22"/>
      <c r="OE43" s="22"/>
      <c r="OF43" s="22"/>
      <c r="OG43" s="22"/>
      <c r="OH43" s="22"/>
      <c r="OI43" s="22"/>
      <c r="OJ43" s="22"/>
      <c r="OK43" s="22"/>
      <c r="OL43" s="22"/>
      <c r="OM43" s="22"/>
      <c r="ON43" s="22"/>
      <c r="OO43" s="22"/>
      <c r="OP43" s="22"/>
      <c r="OQ43" s="22"/>
      <c r="OR43" s="22"/>
      <c r="OS43" s="22"/>
      <c r="OT43" s="22"/>
      <c r="OU43" s="22"/>
      <c r="OV43" s="22"/>
      <c r="OW43" s="22"/>
      <c r="OX43" s="22"/>
      <c r="OY43" s="22"/>
      <c r="OZ43" s="22"/>
      <c r="PA43" s="22"/>
      <c r="PB43" s="22"/>
      <c r="PC43" s="22"/>
      <c r="PD43" s="22"/>
      <c r="PE43" s="22"/>
      <c r="PF43" s="22"/>
      <c r="PG43" s="22"/>
      <c r="PH43" s="22"/>
      <c r="PI43" s="22"/>
      <c r="PJ43" s="22"/>
      <c r="PK43" s="22"/>
      <c r="PL43" s="22"/>
      <c r="PM43" s="22"/>
      <c r="PN43" s="22"/>
      <c r="PO43" s="22"/>
      <c r="PP43" s="22"/>
      <c r="PQ43" s="22"/>
      <c r="PR43" s="22"/>
      <c r="PS43" s="22"/>
      <c r="PT43" s="22"/>
      <c r="PU43" s="22"/>
      <c r="PV43" s="22"/>
      <c r="PW43" s="22"/>
      <c r="PX43" s="22"/>
      <c r="PY43" s="22"/>
      <c r="PZ43" s="22"/>
      <c r="QA43" s="22"/>
      <c r="QB43" s="22"/>
      <c r="QC43" s="22"/>
      <c r="QD43" s="22"/>
      <c r="QE43" s="22"/>
      <c r="QF43" s="22"/>
      <c r="QG43" s="22"/>
      <c r="QH43" s="22"/>
      <c r="QI43" s="22"/>
      <c r="QJ43" s="22"/>
      <c r="QK43" s="22"/>
      <c r="QL43" s="22"/>
      <c r="QM43" s="22"/>
      <c r="QN43" s="22"/>
      <c r="QO43" s="22"/>
      <c r="QP43" s="22"/>
      <c r="QQ43" s="22"/>
      <c r="QR43" s="22"/>
      <c r="QS43" s="22"/>
      <c r="QT43" s="22"/>
      <c r="QU43" s="22"/>
      <c r="QV43" s="22"/>
      <c r="QW43" s="22"/>
      <c r="QX43" s="22"/>
      <c r="QY43" s="22"/>
      <c r="QZ43" s="22"/>
      <c r="RA43" s="22"/>
      <c r="RB43" s="22"/>
      <c r="RC43" s="22"/>
      <c r="RD43" s="22"/>
      <c r="RE43" s="22"/>
      <c r="RF43" s="22"/>
      <c r="RG43" s="22"/>
      <c r="RH43" s="22"/>
      <c r="RI43" s="22"/>
      <c r="RJ43" s="22"/>
      <c r="RK43" s="22"/>
      <c r="RL43" s="22"/>
      <c r="RM43" s="22"/>
      <c r="RN43" s="22"/>
      <c r="RO43" s="22"/>
      <c r="RP43" s="22"/>
      <c r="RQ43" s="22"/>
      <c r="RR43" s="22"/>
      <c r="RS43" s="22"/>
      <c r="RT43" s="22"/>
      <c r="RU43" s="22"/>
      <c r="RV43" s="22"/>
      <c r="RW43" s="22"/>
      <c r="RX43" s="22"/>
      <c r="RY43" s="22"/>
      <c r="RZ43" s="22"/>
      <c r="SA43" s="22"/>
      <c r="SB43" s="22"/>
      <c r="SC43" s="22"/>
      <c r="SD43" s="22"/>
      <c r="SE43" s="22"/>
      <c r="SF43" s="22"/>
      <c r="SG43" s="22"/>
      <c r="SH43" s="22"/>
      <c r="SI43" s="22"/>
      <c r="SJ43" s="22"/>
      <c r="SK43" s="22"/>
      <c r="SL43" s="22"/>
      <c r="SM43" s="22"/>
      <c r="SN43" s="22"/>
      <c r="SO43" s="22"/>
      <c r="SP43" s="22"/>
      <c r="SQ43" s="22"/>
      <c r="SR43" s="22"/>
      <c r="SS43" s="22"/>
      <c r="ST43" s="22"/>
      <c r="SU43" s="22"/>
      <c r="SV43" s="22"/>
      <c r="SW43" s="22"/>
      <c r="SX43" s="22"/>
      <c r="SY43" s="22"/>
      <c r="SZ43" s="22"/>
      <c r="TA43" s="22"/>
      <c r="TB43" s="22"/>
      <c r="TC43" s="22"/>
      <c r="TD43" s="22"/>
      <c r="TE43" s="22"/>
      <c r="TF43" s="22"/>
      <c r="TG43" s="22"/>
      <c r="TH43" s="22"/>
      <c r="TI43" s="22"/>
      <c r="TJ43" s="22"/>
      <c r="TK43" s="22"/>
      <c r="TL43" s="22"/>
      <c r="TM43" s="22"/>
      <c r="TN43" s="22"/>
      <c r="TO43" s="22"/>
      <c r="TP43" s="22"/>
      <c r="TQ43" s="22"/>
      <c r="TR43" s="22"/>
      <c r="TS43" s="22"/>
      <c r="TT43" s="22"/>
      <c r="TU43" s="22"/>
      <c r="TV43" s="22"/>
      <c r="TW43" s="22"/>
      <c r="TX43" s="22"/>
      <c r="TY43" s="22"/>
      <c r="TZ43" s="22"/>
      <c r="UA43" s="22"/>
      <c r="UB43" s="22"/>
      <c r="UC43" s="22"/>
      <c r="UD43" s="22"/>
      <c r="UE43" s="22"/>
      <c r="UF43" s="22"/>
      <c r="UG43" s="22"/>
      <c r="UH43" s="22"/>
      <c r="UI43" s="22"/>
      <c r="UJ43" s="22"/>
      <c r="UK43" s="22"/>
      <c r="UL43" s="22"/>
      <c r="UM43" s="22"/>
      <c r="UN43" s="22"/>
      <c r="UO43" s="22"/>
      <c r="UP43" s="22"/>
      <c r="UQ43" s="22"/>
      <c r="UR43" s="22"/>
      <c r="US43" s="22"/>
      <c r="UT43" s="22"/>
      <c r="UU43" s="22"/>
      <c r="UV43" s="22"/>
      <c r="UW43" s="22"/>
      <c r="UX43" s="22"/>
      <c r="UY43" s="22"/>
      <c r="UZ43" s="22"/>
      <c r="VA43" s="22"/>
      <c r="VB43" s="22"/>
      <c r="VC43" s="22"/>
      <c r="VD43" s="22"/>
      <c r="VE43" s="22"/>
      <c r="VF43" s="22"/>
      <c r="VG43" s="22"/>
      <c r="VH43" s="22"/>
      <c r="VI43" s="22"/>
      <c r="VJ43" s="22"/>
      <c r="VK43" s="22"/>
      <c r="VL43" s="22"/>
      <c r="VM43" s="22"/>
      <c r="VN43" s="22"/>
      <c r="VO43" s="22"/>
      <c r="VP43" s="22"/>
      <c r="VQ43" s="22"/>
      <c r="VR43" s="22"/>
      <c r="VS43" s="22"/>
      <c r="VT43" s="22"/>
      <c r="VU43" s="22"/>
      <c r="VV43" s="22"/>
      <c r="VW43" s="22"/>
      <c r="VX43" s="22"/>
      <c r="VY43" s="22"/>
      <c r="VZ43" s="22"/>
      <c r="WA43" s="22"/>
      <c r="WB43" s="22"/>
      <c r="WC43" s="22"/>
      <c r="WD43" s="22"/>
      <c r="WE43" s="22"/>
      <c r="WF43" s="22"/>
      <c r="WG43" s="22"/>
      <c r="WH43" s="22"/>
      <c r="WI43" s="22"/>
      <c r="WJ43" s="22"/>
      <c r="WK43" s="22"/>
      <c r="WL43" s="22"/>
      <c r="WM43" s="22"/>
      <c r="WN43" s="22"/>
      <c r="WO43" s="22"/>
      <c r="WP43" s="22"/>
      <c r="WQ43" s="22"/>
      <c r="WR43" s="22"/>
      <c r="WS43" s="22"/>
      <c r="WT43" s="22"/>
      <c r="WU43" s="22"/>
      <c r="WV43" s="22"/>
      <c r="WW43" s="22"/>
      <c r="WX43" s="22"/>
      <c r="WY43" s="22"/>
      <c r="WZ43" s="22"/>
      <c r="XA43" s="22"/>
      <c r="XB43" s="22"/>
      <c r="XC43" s="22"/>
      <c r="XD43" s="22"/>
      <c r="XE43" s="22"/>
      <c r="XF43" s="22"/>
      <c r="XG43" s="22"/>
      <c r="XH43" s="22"/>
      <c r="XI43" s="22"/>
      <c r="XJ43" s="22"/>
      <c r="XK43" s="22"/>
      <c r="XL43" s="22"/>
      <c r="XM43" s="22"/>
      <c r="XN43" s="22"/>
      <c r="XO43" s="22"/>
      <c r="XP43" s="22"/>
      <c r="XQ43" s="22"/>
      <c r="XR43" s="22"/>
      <c r="XS43" s="22"/>
      <c r="XT43" s="22"/>
      <c r="XU43" s="22"/>
      <c r="XV43" s="22"/>
      <c r="XW43" s="22"/>
      <c r="XX43" s="22"/>
      <c r="XY43" s="22"/>
      <c r="XZ43" s="22"/>
      <c r="YA43" s="22"/>
      <c r="YB43" s="22"/>
      <c r="YC43" s="22"/>
      <c r="YD43" s="22"/>
      <c r="YE43" s="22"/>
      <c r="YF43" s="22"/>
      <c r="YG43" s="22"/>
      <c r="YH43" s="22"/>
      <c r="YI43" s="22"/>
      <c r="YJ43" s="22"/>
      <c r="YK43" s="22"/>
      <c r="YL43" s="22"/>
      <c r="YM43" s="22"/>
      <c r="YN43" s="22"/>
      <c r="YO43" s="22"/>
      <c r="YP43" s="22"/>
      <c r="YQ43" s="22"/>
      <c r="YR43" s="22"/>
      <c r="YS43" s="22"/>
      <c r="YT43" s="22"/>
      <c r="YU43" s="22"/>
      <c r="YV43" s="22"/>
      <c r="YW43" s="22"/>
      <c r="YX43" s="22"/>
      <c r="YY43" s="22"/>
      <c r="YZ43" s="22"/>
      <c r="ZA43" s="22"/>
      <c r="ZB43" s="22"/>
      <c r="ZC43" s="22"/>
      <c r="ZD43" s="22"/>
      <c r="ZE43" s="22"/>
      <c r="ZF43" s="22"/>
      <c r="ZG43" s="22"/>
      <c r="ZH43" s="22"/>
      <c r="ZI43" s="22"/>
      <c r="ZJ43" s="22"/>
      <c r="ZK43" s="22"/>
      <c r="ZL43" s="22"/>
      <c r="ZM43" s="22"/>
      <c r="ZN43" s="22"/>
      <c r="ZO43" s="22"/>
      <c r="ZP43" s="22"/>
      <c r="ZQ43" s="22"/>
      <c r="ZR43" s="22"/>
      <c r="ZS43" s="22"/>
      <c r="ZT43" s="22"/>
      <c r="ZU43" s="22"/>
      <c r="ZV43" s="22"/>
      <c r="ZW43" s="22"/>
      <c r="ZX43" s="22"/>
      <c r="ZY43" s="22"/>
      <c r="ZZ43" s="22"/>
      <c r="AAA43" s="22"/>
      <c r="AAB43" s="22"/>
      <c r="AAC43" s="22"/>
      <c r="AAD43" s="22"/>
      <c r="AAE43" s="22"/>
      <c r="AAF43" s="22"/>
      <c r="AAG43" s="22"/>
      <c r="AAH43" s="22"/>
      <c r="AAI43" s="22"/>
      <c r="AAJ43" s="22"/>
      <c r="AAK43" s="22"/>
      <c r="AAL43" s="22"/>
      <c r="AAM43" s="22"/>
      <c r="AAN43" s="22"/>
      <c r="AAO43" s="22"/>
      <c r="AAP43" s="22"/>
      <c r="AAQ43" s="22"/>
      <c r="AAR43" s="22"/>
      <c r="AAS43" s="22"/>
      <c r="AAT43" s="22"/>
      <c r="AAU43" s="22"/>
      <c r="AAV43" s="22"/>
      <c r="AAW43" s="22"/>
      <c r="AAX43" s="22"/>
      <c r="AAY43" s="22"/>
      <c r="AAZ43" s="22"/>
      <c r="ABA43" s="22"/>
      <c r="ABB43" s="22"/>
      <c r="ABC43" s="22"/>
    </row>
    <row r="44" spans="1:731" ht="15" customHeight="1" x14ac:dyDescent="0.3">
      <c r="A44" s="412" t="s">
        <v>58</v>
      </c>
      <c r="B44" s="423" t="s">
        <v>58</v>
      </c>
      <c r="C44" s="8"/>
      <c r="D44" s="27" t="s">
        <v>11</v>
      </c>
      <c r="E44" s="73" t="s">
        <v>59</v>
      </c>
      <c r="F44" s="15">
        <f>J44/$F$2</f>
        <v>46.974430971482555</v>
      </c>
      <c r="G44" s="16">
        <f>K44/$F$2</f>
        <v>47.36394470421827</v>
      </c>
      <c r="H44" s="13">
        <f t="shared" si="64"/>
        <v>-0.38951373273571477</v>
      </c>
      <c r="I44" s="14">
        <f t="shared" si="1"/>
        <v>-8.223844850089616E-3</v>
      </c>
      <c r="J44" s="15">
        <f>'[88]Summary - Apr 25'!$K$3/1000</f>
        <v>14023.333000000001</v>
      </c>
      <c r="K44" s="74">
        <f>'[88]Summary - Apr 25'!$H$3/1000</f>
        <v>14139.615</v>
      </c>
      <c r="L44" s="13">
        <f t="shared" si="65"/>
        <v>-116.28199999999924</v>
      </c>
      <c r="M44" s="14">
        <f t="shared" si="21"/>
        <v>-8.2238448500895709E-3</v>
      </c>
      <c r="N44" s="15">
        <f>'[88]Summary - Apr 25'!$K$3/1000</f>
        <v>14023.333000000001</v>
      </c>
      <c r="O44" s="74">
        <f>'[88]Summary - Apr 25'!$L$3/1000</f>
        <v>13786.379000000001</v>
      </c>
      <c r="P44" s="13">
        <f t="shared" si="66"/>
        <v>236.95399999999972</v>
      </c>
      <c r="Q44" s="14">
        <f t="shared" si="2"/>
        <v>1.7187544314573082E-2</v>
      </c>
      <c r="R44" s="75"/>
      <c r="S44" s="16"/>
      <c r="T44" s="13">
        <f t="shared" si="67"/>
        <v>0</v>
      </c>
      <c r="U44" s="14"/>
      <c r="V44" s="75">
        <f>'[88]Summary - Apr 25'!$O$3/1000</f>
        <v>8313.4940000000006</v>
      </c>
      <c r="W44" s="16">
        <f>'[88]Summary - Apr 25'!$P$3/1000</f>
        <v>8082.8090000000002</v>
      </c>
      <c r="X44" s="13">
        <f t="shared" si="68"/>
        <v>230.6850000000004</v>
      </c>
      <c r="Y44" s="14">
        <f t="shared" si="4"/>
        <v>2.85402018036057E-2</v>
      </c>
      <c r="Z44" s="15"/>
      <c r="AA44" s="74">
        <f>0</f>
        <v>0</v>
      </c>
      <c r="AB44" s="13">
        <f t="shared" si="69"/>
        <v>0</v>
      </c>
      <c r="AC44" s="19" t="str">
        <f t="shared" si="5"/>
        <v/>
      </c>
      <c r="AD44" s="137">
        <v>0</v>
      </c>
      <c r="AE44" s="138">
        <v>0</v>
      </c>
      <c r="AF44" s="108">
        <f t="shared" si="6"/>
        <v>0</v>
      </c>
      <c r="AG44" s="113">
        <v>0</v>
      </c>
      <c r="AH44" s="142">
        <v>0</v>
      </c>
      <c r="AI44" s="127">
        <v>0</v>
      </c>
      <c r="AJ44" s="108">
        <f t="shared" si="8"/>
        <v>0</v>
      </c>
      <c r="AK44" s="19">
        <v>0</v>
      </c>
      <c r="AL44" s="142">
        <f>'[88]Summary - Apr 25'!$S$3/1000</f>
        <v>5709.8389999999999</v>
      </c>
      <c r="AM44" s="133">
        <f>'[88]Summary - Apr 25'!$T$3/1000</f>
        <v>5703.57</v>
      </c>
      <c r="AN44" s="13">
        <f t="shared" si="9"/>
        <v>6.2690000000002328</v>
      </c>
      <c r="AO44" s="19">
        <f t="shared" si="10"/>
        <v>1.0991361550748448E-3</v>
      </c>
      <c r="AP44" s="121" t="s">
        <v>128</v>
      </c>
      <c r="AQ44" s="22"/>
      <c r="AR44" s="1">
        <f t="shared" si="11"/>
        <v>5709.8389999999999</v>
      </c>
      <c r="AS44" s="1">
        <f t="shared" si="12"/>
        <v>5703.5700000000006</v>
      </c>
      <c r="AT44" s="1">
        <f t="shared" si="13"/>
        <v>-5709.8389999999999</v>
      </c>
      <c r="AU44" s="1">
        <f t="shared" si="14"/>
        <v>-5703.57</v>
      </c>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c r="FT44" s="22"/>
      <c r="FU44" s="22"/>
      <c r="FV44" s="22"/>
      <c r="FW44" s="22"/>
      <c r="FX44" s="22"/>
      <c r="FY44" s="22"/>
      <c r="FZ44" s="22"/>
      <c r="GA44" s="22"/>
      <c r="GB44" s="22"/>
      <c r="GC44" s="22"/>
      <c r="GD44" s="22"/>
      <c r="GE44" s="22"/>
      <c r="GF44" s="22"/>
      <c r="GG44" s="22"/>
      <c r="GH44" s="22"/>
      <c r="GI44" s="22"/>
      <c r="GJ44" s="22"/>
      <c r="GK44" s="22"/>
      <c r="GL44" s="22"/>
      <c r="GM44" s="22"/>
      <c r="GN44" s="22"/>
      <c r="GO44" s="22"/>
      <c r="GP44" s="22"/>
      <c r="GQ44" s="22"/>
      <c r="GR44" s="22"/>
      <c r="GS44" s="22"/>
      <c r="GT44" s="22"/>
      <c r="GU44" s="22"/>
      <c r="GV44" s="22"/>
      <c r="GW44" s="22"/>
      <c r="GX44" s="22"/>
      <c r="GY44" s="22"/>
      <c r="GZ44" s="22"/>
      <c r="HA44" s="22"/>
      <c r="HB44" s="22"/>
      <c r="HC44" s="22"/>
      <c r="HD44" s="22"/>
      <c r="HE44" s="22"/>
      <c r="HF44" s="22"/>
      <c r="HG44" s="22"/>
      <c r="HH44" s="22"/>
      <c r="HI44" s="22"/>
      <c r="HJ44" s="22"/>
      <c r="HK44" s="22"/>
      <c r="HL44" s="22"/>
      <c r="HM44" s="22"/>
      <c r="HN44" s="22"/>
      <c r="HO44" s="22"/>
      <c r="HP44" s="22"/>
      <c r="HQ44" s="22"/>
      <c r="HR44" s="22"/>
      <c r="HS44" s="22"/>
      <c r="HT44" s="22"/>
      <c r="HU44" s="22"/>
      <c r="HV44" s="22"/>
      <c r="HW44" s="22"/>
      <c r="HX44" s="22"/>
      <c r="HY44" s="22"/>
      <c r="HZ44" s="22"/>
      <c r="IA44" s="22"/>
      <c r="IB44" s="22"/>
      <c r="IC44" s="22"/>
      <c r="ID44" s="22"/>
      <c r="IE44" s="22"/>
      <c r="IF44" s="22"/>
      <c r="IG44" s="22"/>
      <c r="IH44" s="22"/>
      <c r="II44" s="22"/>
      <c r="IJ44" s="22"/>
      <c r="IK44" s="22"/>
      <c r="IL44" s="22"/>
      <c r="IM44" s="22"/>
      <c r="IN44" s="22"/>
      <c r="IO44" s="22"/>
      <c r="IP44" s="22"/>
      <c r="IQ44" s="22"/>
      <c r="IR44" s="22"/>
      <c r="IS44" s="22"/>
      <c r="IT44" s="22"/>
      <c r="IU44" s="22"/>
      <c r="IV44" s="22"/>
      <c r="IW44" s="22"/>
      <c r="IX44" s="22"/>
      <c r="IY44" s="22"/>
      <c r="IZ44" s="22"/>
      <c r="JA44" s="22"/>
      <c r="JB44" s="22"/>
      <c r="JC44" s="22"/>
      <c r="JD44" s="22"/>
      <c r="JE44" s="22"/>
      <c r="JJ44" s="22"/>
      <c r="JK44" s="22"/>
      <c r="JL44" s="22"/>
      <c r="JM44" s="22"/>
      <c r="JN44" s="22"/>
      <c r="JO44" s="22"/>
      <c r="JP44" s="22"/>
      <c r="JQ44" s="22"/>
      <c r="JR44" s="22"/>
      <c r="JS44" s="22"/>
      <c r="JT44" s="22"/>
      <c r="JU44" s="22"/>
      <c r="JV44" s="22"/>
      <c r="JW44" s="22"/>
      <c r="JX44" s="22"/>
      <c r="JY44" s="22"/>
      <c r="JZ44" s="22"/>
      <c r="KA44" s="22"/>
      <c r="KB44" s="22"/>
      <c r="KC44" s="22"/>
      <c r="KD44" s="22"/>
      <c r="KE44" s="22"/>
      <c r="KF44" s="22"/>
      <c r="KG44" s="22"/>
      <c r="KH44" s="22"/>
      <c r="KI44" s="22"/>
      <c r="KJ44" s="22"/>
      <c r="KK44" s="22"/>
      <c r="KL44" s="22"/>
      <c r="KM44" s="22"/>
      <c r="KN44" s="22"/>
      <c r="KO44" s="22"/>
      <c r="KP44" s="22"/>
      <c r="KQ44" s="22"/>
      <c r="KR44" s="22"/>
      <c r="KS44" s="22"/>
      <c r="KT44" s="22"/>
      <c r="KU44" s="22"/>
      <c r="KV44" s="22"/>
      <c r="KW44" s="22"/>
      <c r="KX44" s="22"/>
      <c r="KY44" s="22"/>
      <c r="KZ44" s="22"/>
      <c r="LA44" s="22"/>
      <c r="LB44" s="22"/>
      <c r="LC44" s="22"/>
      <c r="LD44" s="22"/>
      <c r="LE44" s="22"/>
      <c r="LF44" s="22"/>
      <c r="LG44" s="22"/>
      <c r="LH44" s="22"/>
      <c r="LI44" s="22"/>
      <c r="LJ44" s="22"/>
      <c r="LK44" s="22"/>
      <c r="LL44" s="22"/>
      <c r="LM44" s="22"/>
      <c r="LN44" s="22"/>
      <c r="LO44" s="22"/>
      <c r="LP44" s="22"/>
      <c r="LQ44" s="22"/>
      <c r="LR44" s="22"/>
      <c r="LS44" s="22"/>
      <c r="LT44" s="22"/>
      <c r="LU44" s="22"/>
      <c r="LV44" s="22"/>
      <c r="LW44" s="22"/>
      <c r="LX44" s="22"/>
      <c r="LY44" s="22"/>
      <c r="LZ44" s="22"/>
      <c r="MA44" s="22"/>
      <c r="MB44" s="22"/>
      <c r="MC44" s="22"/>
      <c r="MD44" s="22"/>
      <c r="ME44" s="22"/>
      <c r="MF44" s="22"/>
      <c r="MG44" s="22"/>
      <c r="MH44" s="22"/>
      <c r="MI44" s="22"/>
      <c r="MJ44" s="22"/>
      <c r="MK44" s="22"/>
      <c r="ML44" s="22"/>
      <c r="MM44" s="22"/>
      <c r="MN44" s="22"/>
      <c r="MO44" s="22"/>
      <c r="MP44" s="22"/>
      <c r="MQ44" s="22"/>
      <c r="MR44" s="22"/>
      <c r="MS44" s="22"/>
      <c r="MT44" s="22"/>
      <c r="MU44" s="22"/>
      <c r="MV44" s="22"/>
      <c r="MW44" s="22"/>
      <c r="MX44" s="22"/>
      <c r="MY44" s="22"/>
      <c r="MZ44" s="22"/>
      <c r="NA44" s="22"/>
      <c r="NB44" s="22"/>
      <c r="NC44" s="22"/>
      <c r="ND44" s="22"/>
      <c r="NE44" s="22"/>
      <c r="NF44" s="22"/>
      <c r="NG44" s="22"/>
      <c r="NH44" s="22"/>
      <c r="NI44" s="22"/>
      <c r="NJ44" s="22"/>
      <c r="NK44" s="22"/>
      <c r="NL44" s="22"/>
      <c r="NM44" s="22"/>
      <c r="NN44" s="22"/>
      <c r="NO44" s="22"/>
      <c r="NP44" s="22"/>
      <c r="NQ44" s="22"/>
      <c r="NR44" s="22"/>
      <c r="NS44" s="22"/>
      <c r="NT44" s="22"/>
      <c r="NU44" s="22"/>
      <c r="NV44" s="22"/>
      <c r="NW44" s="22"/>
      <c r="NX44" s="22"/>
      <c r="NY44" s="22"/>
      <c r="NZ44" s="22"/>
      <c r="OA44" s="22"/>
      <c r="OB44" s="22"/>
      <c r="OC44" s="22"/>
      <c r="OD44" s="22"/>
      <c r="OE44" s="22"/>
      <c r="OF44" s="22"/>
      <c r="OG44" s="22"/>
      <c r="OH44" s="22"/>
      <c r="OI44" s="22"/>
      <c r="OJ44" s="22"/>
      <c r="OK44" s="22"/>
      <c r="OL44" s="22"/>
      <c r="OM44" s="22"/>
      <c r="ON44" s="22"/>
      <c r="OO44" s="22"/>
      <c r="OP44" s="22"/>
      <c r="OQ44" s="22"/>
      <c r="OR44" s="22"/>
      <c r="OS44" s="22"/>
      <c r="OT44" s="22"/>
      <c r="OU44" s="22"/>
      <c r="OV44" s="22"/>
      <c r="OW44" s="22"/>
      <c r="OX44" s="22"/>
      <c r="OY44" s="22"/>
      <c r="OZ44" s="22"/>
      <c r="PA44" s="22"/>
      <c r="PB44" s="22"/>
      <c r="PC44" s="22"/>
      <c r="PD44" s="22"/>
      <c r="PE44" s="22"/>
      <c r="PF44" s="22"/>
      <c r="PG44" s="22"/>
      <c r="PH44" s="22"/>
      <c r="PI44" s="22"/>
      <c r="PJ44" s="22"/>
      <c r="PK44" s="22"/>
      <c r="PL44" s="22"/>
      <c r="PM44" s="22"/>
      <c r="PN44" s="22"/>
      <c r="PO44" s="22"/>
      <c r="PP44" s="22"/>
      <c r="PQ44" s="22"/>
      <c r="PR44" s="22"/>
      <c r="PS44" s="22"/>
      <c r="PT44" s="22"/>
      <c r="PU44" s="22"/>
      <c r="PV44" s="22"/>
      <c r="PW44" s="22"/>
      <c r="PX44" s="22"/>
      <c r="PY44" s="22"/>
      <c r="PZ44" s="22"/>
      <c r="QA44" s="22"/>
      <c r="QB44" s="22"/>
      <c r="QC44" s="22"/>
      <c r="QD44" s="22"/>
      <c r="QE44" s="22"/>
      <c r="QF44" s="22"/>
      <c r="QG44" s="22"/>
      <c r="QH44" s="22"/>
      <c r="QI44" s="22"/>
      <c r="QJ44" s="22"/>
      <c r="QK44" s="22"/>
      <c r="QL44" s="22"/>
      <c r="QM44" s="22"/>
      <c r="QN44" s="22"/>
      <c r="QO44" s="22"/>
      <c r="QP44" s="22"/>
      <c r="QQ44" s="22"/>
      <c r="QR44" s="22"/>
      <c r="QS44" s="22"/>
      <c r="QT44" s="22"/>
      <c r="QU44" s="22"/>
      <c r="QV44" s="22"/>
      <c r="QW44" s="22"/>
      <c r="QX44" s="22"/>
      <c r="QY44" s="22"/>
      <c r="QZ44" s="22"/>
      <c r="RA44" s="22"/>
      <c r="RB44" s="22"/>
      <c r="RC44" s="22"/>
      <c r="RD44" s="22"/>
      <c r="RE44" s="22"/>
      <c r="RF44" s="22"/>
      <c r="RG44" s="22"/>
      <c r="RH44" s="22"/>
      <c r="RI44" s="22"/>
      <c r="RJ44" s="22"/>
      <c r="RK44" s="22"/>
      <c r="RL44" s="22"/>
      <c r="RM44" s="22"/>
      <c r="RN44" s="22"/>
      <c r="RO44" s="22"/>
      <c r="RP44" s="22"/>
      <c r="RQ44" s="22"/>
      <c r="RR44" s="22"/>
      <c r="RS44" s="22"/>
      <c r="RT44" s="22"/>
      <c r="RU44" s="22"/>
      <c r="RV44" s="22"/>
      <c r="RW44" s="22"/>
      <c r="RX44" s="22"/>
      <c r="RY44" s="22"/>
      <c r="RZ44" s="22"/>
      <c r="SA44" s="22"/>
      <c r="SB44" s="22"/>
      <c r="SC44" s="22"/>
      <c r="SD44" s="22"/>
      <c r="SE44" s="22"/>
      <c r="SF44" s="22"/>
      <c r="SG44" s="22"/>
      <c r="SH44" s="22"/>
      <c r="SI44" s="22"/>
      <c r="SJ44" s="22"/>
      <c r="SK44" s="22"/>
      <c r="SL44" s="22"/>
      <c r="SM44" s="22"/>
      <c r="SN44" s="22"/>
      <c r="SO44" s="22"/>
      <c r="SP44" s="22"/>
      <c r="SQ44" s="22"/>
      <c r="SR44" s="22"/>
      <c r="SS44" s="22"/>
      <c r="ST44" s="22"/>
      <c r="SU44" s="22"/>
      <c r="SV44" s="22"/>
      <c r="SW44" s="22"/>
      <c r="SX44" s="22"/>
      <c r="SY44" s="22"/>
      <c r="SZ44" s="22"/>
      <c r="TA44" s="22"/>
      <c r="TB44" s="22"/>
      <c r="TC44" s="22"/>
      <c r="TD44" s="22"/>
      <c r="TE44" s="22"/>
      <c r="TF44" s="22"/>
      <c r="TG44" s="22"/>
      <c r="TH44" s="22"/>
      <c r="TI44" s="22"/>
      <c r="TJ44" s="22"/>
      <c r="TK44" s="22"/>
      <c r="TL44" s="22"/>
      <c r="TM44" s="22"/>
      <c r="TN44" s="22"/>
      <c r="TO44" s="22"/>
      <c r="TP44" s="22"/>
      <c r="TQ44" s="22"/>
      <c r="TR44" s="22"/>
      <c r="TS44" s="22"/>
      <c r="TT44" s="22"/>
      <c r="TU44" s="22"/>
      <c r="TV44" s="22"/>
      <c r="TW44" s="22"/>
      <c r="TX44" s="22"/>
      <c r="TY44" s="22"/>
      <c r="TZ44" s="22"/>
      <c r="UA44" s="22"/>
      <c r="UB44" s="22"/>
      <c r="UC44" s="22"/>
      <c r="UD44" s="22"/>
      <c r="UE44" s="22"/>
      <c r="UF44" s="22"/>
      <c r="UG44" s="22"/>
      <c r="UH44" s="22"/>
      <c r="UI44" s="22"/>
      <c r="UJ44" s="22"/>
      <c r="UK44" s="22"/>
      <c r="UL44" s="22"/>
      <c r="UM44" s="22"/>
      <c r="UN44" s="22"/>
      <c r="UO44" s="22"/>
      <c r="UP44" s="22"/>
      <c r="UQ44" s="22"/>
      <c r="UR44" s="22"/>
      <c r="US44" s="22"/>
      <c r="UT44" s="22"/>
      <c r="UU44" s="22"/>
      <c r="UV44" s="22"/>
      <c r="UW44" s="22"/>
      <c r="UX44" s="22"/>
      <c r="UY44" s="22"/>
      <c r="UZ44" s="22"/>
      <c r="VA44" s="22"/>
      <c r="VB44" s="22"/>
      <c r="VC44" s="22"/>
      <c r="VD44" s="22"/>
      <c r="VE44" s="22"/>
      <c r="VF44" s="22"/>
      <c r="VG44" s="22"/>
      <c r="VH44" s="22"/>
      <c r="VI44" s="22"/>
      <c r="VJ44" s="22"/>
      <c r="VK44" s="22"/>
      <c r="VL44" s="22"/>
      <c r="VM44" s="22"/>
      <c r="VN44" s="22"/>
      <c r="VO44" s="22"/>
      <c r="VP44" s="22"/>
      <c r="VQ44" s="22"/>
      <c r="VR44" s="22"/>
      <c r="VS44" s="22"/>
      <c r="VT44" s="22"/>
      <c r="VU44" s="22"/>
      <c r="VV44" s="22"/>
      <c r="VW44" s="22"/>
      <c r="VX44" s="22"/>
      <c r="VY44" s="22"/>
      <c r="VZ44" s="22"/>
      <c r="WA44" s="22"/>
      <c r="WB44" s="22"/>
      <c r="WC44" s="22"/>
      <c r="WD44" s="22"/>
      <c r="WE44" s="22"/>
      <c r="WF44" s="22"/>
      <c r="WG44" s="22"/>
      <c r="WH44" s="22"/>
      <c r="WI44" s="22"/>
      <c r="WJ44" s="22"/>
      <c r="WK44" s="22"/>
      <c r="WL44" s="22"/>
      <c r="WM44" s="22"/>
      <c r="WN44" s="22"/>
      <c r="WO44" s="22"/>
      <c r="WP44" s="22"/>
      <c r="WQ44" s="22"/>
      <c r="WR44" s="22"/>
      <c r="WS44" s="22"/>
      <c r="WT44" s="22"/>
      <c r="WU44" s="22"/>
      <c r="WV44" s="22"/>
      <c r="WW44" s="22"/>
      <c r="WX44" s="22"/>
      <c r="WY44" s="22"/>
      <c r="WZ44" s="22"/>
      <c r="XA44" s="22"/>
      <c r="XB44" s="22"/>
      <c r="XC44" s="22"/>
      <c r="XD44" s="22"/>
      <c r="XE44" s="22"/>
      <c r="XF44" s="22"/>
      <c r="XG44" s="22"/>
      <c r="XH44" s="22"/>
      <c r="XI44" s="22"/>
      <c r="XJ44" s="22"/>
      <c r="XK44" s="22"/>
      <c r="XL44" s="22"/>
      <c r="XM44" s="22"/>
      <c r="XN44" s="22"/>
      <c r="XO44" s="22"/>
      <c r="XP44" s="22"/>
      <c r="XQ44" s="22"/>
      <c r="XR44" s="22"/>
      <c r="XS44" s="22"/>
      <c r="XT44" s="22"/>
      <c r="XU44" s="22"/>
      <c r="XV44" s="22"/>
      <c r="XW44" s="22"/>
      <c r="XX44" s="22"/>
      <c r="XY44" s="22"/>
      <c r="XZ44" s="22"/>
      <c r="YA44" s="22"/>
      <c r="YB44" s="22"/>
      <c r="YC44" s="22"/>
      <c r="YD44" s="22"/>
      <c r="YE44" s="22"/>
      <c r="YF44" s="22"/>
      <c r="YG44" s="22"/>
      <c r="YH44" s="22"/>
      <c r="YI44" s="22"/>
      <c r="YJ44" s="22"/>
      <c r="YK44" s="22"/>
      <c r="YL44" s="22"/>
      <c r="YM44" s="22"/>
      <c r="YN44" s="22"/>
      <c r="YO44" s="22"/>
      <c r="YP44" s="22"/>
      <c r="YQ44" s="22"/>
      <c r="YR44" s="22"/>
      <c r="YS44" s="22"/>
      <c r="YT44" s="22"/>
      <c r="YU44" s="22"/>
      <c r="YV44" s="22"/>
      <c r="YW44" s="22"/>
      <c r="YX44" s="22"/>
      <c r="YY44" s="22"/>
      <c r="YZ44" s="22"/>
      <c r="ZA44" s="22"/>
      <c r="ZB44" s="22"/>
      <c r="ZC44" s="22"/>
      <c r="ZD44" s="22"/>
      <c r="ZE44" s="22"/>
      <c r="ZF44" s="22"/>
      <c r="ZG44" s="22"/>
      <c r="ZH44" s="22"/>
      <c r="ZI44" s="22"/>
      <c r="ZJ44" s="22"/>
      <c r="ZK44" s="22"/>
      <c r="ZL44" s="22"/>
      <c r="ZM44" s="22"/>
      <c r="ZN44" s="22"/>
      <c r="ZO44" s="22"/>
      <c r="ZP44" s="22"/>
      <c r="ZQ44" s="22"/>
      <c r="ZR44" s="22"/>
      <c r="ZS44" s="22"/>
      <c r="ZT44" s="22"/>
      <c r="ZU44" s="22"/>
      <c r="ZV44" s="22"/>
      <c r="ZW44" s="22"/>
      <c r="ZX44" s="22"/>
      <c r="ZY44" s="22"/>
      <c r="ZZ44" s="22"/>
      <c r="AAA44" s="22"/>
      <c r="AAB44" s="22"/>
      <c r="AAC44" s="22"/>
      <c r="AAD44" s="22"/>
      <c r="AAE44" s="22"/>
      <c r="AAF44" s="22"/>
      <c r="AAG44" s="22"/>
      <c r="AAH44" s="22"/>
      <c r="AAI44" s="22"/>
      <c r="AAJ44" s="22"/>
      <c r="AAK44" s="22"/>
      <c r="AAL44" s="22"/>
      <c r="AAM44" s="22"/>
      <c r="AAN44" s="22"/>
      <c r="AAO44" s="22"/>
      <c r="AAP44" s="22"/>
      <c r="AAQ44" s="22"/>
      <c r="AAR44" s="22"/>
      <c r="AAS44" s="22"/>
      <c r="AAT44" s="22"/>
      <c r="AAU44" s="22"/>
      <c r="AAV44" s="22"/>
      <c r="AAW44" s="22"/>
      <c r="AAX44" s="22"/>
      <c r="AAY44" s="22"/>
      <c r="AAZ44" s="22"/>
      <c r="ABA44" s="22"/>
      <c r="ABB44" s="22"/>
      <c r="ABC44" s="22"/>
    </row>
    <row r="45" spans="1:731" ht="15" customHeight="1" x14ac:dyDescent="0.3">
      <c r="A45" s="414"/>
      <c r="B45" s="423"/>
      <c r="C45" s="8"/>
      <c r="D45" s="27" t="s">
        <v>11</v>
      </c>
      <c r="E45" s="73" t="s">
        <v>60</v>
      </c>
      <c r="F45" s="15">
        <f>J45/$F$2</f>
        <v>5.4434445332672388</v>
      </c>
      <c r="G45" s="16">
        <f>K45/$F$2</f>
        <v>5.4345584225465879</v>
      </c>
      <c r="H45" s="52">
        <f t="shared" si="64"/>
        <v>8.8861107206508194E-3</v>
      </c>
      <c r="I45" s="14">
        <f t="shared" si="1"/>
        <v>1.6351118213734951E-3</v>
      </c>
      <c r="J45" s="15">
        <f>'[88]Summary - Apr 25'!$G$4/1000</f>
        <v>1625.038</v>
      </c>
      <c r="K45" s="74">
        <f>'[88]Summary - Apr 25'!$H$4/1000</f>
        <v>1622.3852187500004</v>
      </c>
      <c r="L45" s="13">
        <f t="shared" si="65"/>
        <v>2.6527812499996344</v>
      </c>
      <c r="M45" s="14" t="str">
        <f>IFERROR(IF(#REF!&lt;0,-(#REF!-#REF!)/#REF!,(#REF!-#REF!)/#REF!),"")</f>
        <v/>
      </c>
      <c r="N45" s="15">
        <f>'[88]Summary - Apr 25'!$K$4/1000</f>
        <v>1625.038</v>
      </c>
      <c r="O45" s="74">
        <f>'[88]Summary - Apr 25'!$L$4/1000</f>
        <v>1622.3852187500004</v>
      </c>
      <c r="P45" s="52">
        <f t="shared" si="66"/>
        <v>2.6527812499996344</v>
      </c>
      <c r="Q45" s="14">
        <f t="shared" si="2"/>
        <v>1.6351118213734242E-3</v>
      </c>
      <c r="R45" s="57"/>
      <c r="S45" s="16"/>
      <c r="T45" s="52">
        <f t="shared" si="67"/>
        <v>0</v>
      </c>
      <c r="U45" s="14" t="str">
        <f t="shared" si="30"/>
        <v/>
      </c>
      <c r="V45" s="57">
        <f>'[88]Summary - Apr 25'!$O$4/1000</f>
        <v>1499.9190000000001</v>
      </c>
      <c r="W45" s="16">
        <f>'[88]Summary - Apr 25'!$P$4/1000</f>
        <v>1527.829</v>
      </c>
      <c r="X45" s="52">
        <f t="shared" si="68"/>
        <v>-27.909999999999854</v>
      </c>
      <c r="Y45" s="14">
        <f t="shared" si="4"/>
        <v>-1.8267751168488004E-2</v>
      </c>
      <c r="Z45" s="15">
        <f>'[88]Summary - Apr 25'!$S$4/1000</f>
        <v>125.119</v>
      </c>
      <c r="AA45" s="74">
        <f>'[88]Summary - Apr 25'!$T$4/1000</f>
        <v>94.556218750000468</v>
      </c>
      <c r="AB45" s="52">
        <f t="shared" si="69"/>
        <v>30.562781249999531</v>
      </c>
      <c r="AC45" s="19">
        <f t="shared" si="5"/>
        <v>0.32322338661622274</v>
      </c>
      <c r="AD45" s="137">
        <v>0</v>
      </c>
      <c r="AE45" s="138">
        <v>0</v>
      </c>
      <c r="AF45" s="108">
        <f t="shared" si="6"/>
        <v>0</v>
      </c>
      <c r="AG45" s="113">
        <v>0</v>
      </c>
      <c r="AH45" s="142">
        <v>0</v>
      </c>
      <c r="AI45" s="127">
        <v>0</v>
      </c>
      <c r="AJ45" s="108">
        <f t="shared" si="8"/>
        <v>0</v>
      </c>
      <c r="AK45" s="19">
        <v>0</v>
      </c>
      <c r="AL45" s="144">
        <f>'[88]Summary - Apr 25'!$S$4/1000</f>
        <v>125.119</v>
      </c>
      <c r="AM45" s="133">
        <f>'[88]Summary - Apr 25'!$T$4/1000</f>
        <v>94.556218750000468</v>
      </c>
      <c r="AN45" s="13">
        <f t="shared" si="9"/>
        <v>30.562781249999531</v>
      </c>
      <c r="AO45" s="19">
        <f t="shared" si="10"/>
        <v>0.32322338661622274</v>
      </c>
      <c r="AP45" s="51" t="s">
        <v>129</v>
      </c>
      <c r="AQ45" s="22"/>
      <c r="AR45" s="1">
        <f t="shared" si="11"/>
        <v>0</v>
      </c>
      <c r="AS45" s="1">
        <f t="shared" si="12"/>
        <v>0</v>
      </c>
      <c r="AT45" s="1">
        <f t="shared" si="13"/>
        <v>0</v>
      </c>
      <c r="AU45" s="1">
        <f t="shared" si="14"/>
        <v>0</v>
      </c>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c r="FJ45" s="22"/>
      <c r="FK45" s="22"/>
      <c r="FL45" s="22"/>
      <c r="FM45" s="22"/>
      <c r="FN45" s="22"/>
      <c r="FO45" s="22"/>
      <c r="FP45" s="22"/>
      <c r="FQ45" s="22"/>
      <c r="FR45" s="22"/>
      <c r="FS45" s="22"/>
      <c r="FT45" s="22"/>
      <c r="FU45" s="22"/>
      <c r="FV45" s="22"/>
      <c r="FW45" s="22"/>
      <c r="FX45" s="22"/>
      <c r="FY45" s="22"/>
      <c r="FZ45" s="22"/>
      <c r="GA45" s="22"/>
      <c r="GB45" s="22"/>
      <c r="GC45" s="22"/>
      <c r="GD45" s="22"/>
      <c r="GE45" s="22"/>
      <c r="GF45" s="22"/>
      <c r="GG45" s="22"/>
      <c r="GH45" s="22"/>
      <c r="GI45" s="22"/>
      <c r="GJ45" s="22"/>
      <c r="GK45" s="22"/>
      <c r="GL45" s="22"/>
      <c r="GM45" s="22"/>
      <c r="GN45" s="22"/>
      <c r="GO45" s="22"/>
      <c r="GP45" s="22"/>
      <c r="GQ45" s="22"/>
      <c r="GR45" s="22"/>
      <c r="GS45" s="22"/>
      <c r="GT45" s="22"/>
      <c r="GU45" s="22"/>
      <c r="GV45" s="22"/>
      <c r="GW45" s="22"/>
      <c r="GX45" s="22"/>
      <c r="GY45" s="22"/>
      <c r="GZ45" s="22"/>
      <c r="HA45" s="22"/>
      <c r="HB45" s="22"/>
      <c r="HC45" s="22"/>
      <c r="HD45" s="22"/>
      <c r="HE45" s="22"/>
      <c r="HF45" s="22"/>
      <c r="HG45" s="22"/>
      <c r="HH45" s="22"/>
      <c r="HI45" s="22"/>
      <c r="HJ45" s="22"/>
      <c r="HK45" s="22"/>
      <c r="HL45" s="22"/>
      <c r="HM45" s="22"/>
      <c r="HN45" s="22"/>
      <c r="HO45" s="22"/>
      <c r="HP45" s="22"/>
      <c r="HQ45" s="22"/>
      <c r="HR45" s="22"/>
      <c r="HS45" s="22"/>
      <c r="HT45" s="22"/>
      <c r="HU45" s="22"/>
      <c r="HV45" s="22"/>
      <c r="HW45" s="22"/>
      <c r="HX45" s="22"/>
      <c r="HY45" s="22"/>
      <c r="HZ45" s="22"/>
      <c r="IA45" s="22"/>
      <c r="IB45" s="22"/>
      <c r="IC45" s="22"/>
      <c r="ID45" s="22"/>
      <c r="IE45" s="22"/>
      <c r="IF45" s="22"/>
      <c r="IG45" s="22"/>
      <c r="IH45" s="22"/>
      <c r="II45" s="22"/>
      <c r="IJ45" s="22"/>
      <c r="IK45" s="22"/>
      <c r="IL45" s="22"/>
      <c r="IM45" s="22"/>
      <c r="IN45" s="22"/>
      <c r="IO45" s="22"/>
      <c r="IP45" s="22"/>
      <c r="IQ45" s="22"/>
      <c r="IR45" s="22"/>
      <c r="IS45" s="22"/>
      <c r="IT45" s="22"/>
      <c r="IU45" s="22"/>
      <c r="IV45" s="22"/>
      <c r="IW45" s="22"/>
      <c r="IX45" s="22"/>
      <c r="IY45" s="22"/>
      <c r="IZ45" s="22"/>
      <c r="JA45" s="22"/>
      <c r="JB45" s="22"/>
      <c r="JC45" s="22"/>
      <c r="JD45" s="22"/>
      <c r="JE45" s="22"/>
      <c r="JJ45" s="22"/>
      <c r="JK45" s="22"/>
      <c r="JL45" s="22"/>
      <c r="JM45" s="22"/>
      <c r="JN45" s="22"/>
      <c r="JO45" s="22"/>
      <c r="JP45" s="22"/>
      <c r="JQ45" s="22"/>
      <c r="JR45" s="22"/>
      <c r="JS45" s="22"/>
      <c r="JT45" s="22"/>
      <c r="JU45" s="22"/>
      <c r="JV45" s="22"/>
      <c r="JW45" s="22"/>
      <c r="JX45" s="22"/>
      <c r="JY45" s="22"/>
      <c r="JZ45" s="22"/>
      <c r="KA45" s="22"/>
      <c r="KB45" s="22"/>
      <c r="KC45" s="22"/>
      <c r="KD45" s="22"/>
      <c r="KE45" s="22"/>
      <c r="KF45" s="22"/>
      <c r="KG45" s="22"/>
      <c r="KH45" s="22"/>
      <c r="KI45" s="22"/>
      <c r="KJ45" s="22"/>
      <c r="KK45" s="22"/>
      <c r="KL45" s="22"/>
      <c r="KM45" s="22"/>
      <c r="KN45" s="22"/>
      <c r="KO45" s="22"/>
      <c r="KP45" s="22"/>
      <c r="KQ45" s="22"/>
      <c r="KR45" s="22"/>
      <c r="KS45" s="22"/>
      <c r="KT45" s="22"/>
      <c r="KU45" s="22"/>
      <c r="KV45" s="22"/>
      <c r="KW45" s="22"/>
      <c r="KX45" s="22"/>
      <c r="KY45" s="22"/>
      <c r="KZ45" s="22"/>
      <c r="LA45" s="22"/>
      <c r="LB45" s="22"/>
      <c r="LC45" s="22"/>
      <c r="LD45" s="22"/>
      <c r="LE45" s="22"/>
      <c r="LF45" s="22"/>
      <c r="LG45" s="22"/>
      <c r="LH45" s="22"/>
      <c r="LI45" s="22"/>
      <c r="LJ45" s="22"/>
      <c r="LK45" s="22"/>
      <c r="LL45" s="22"/>
      <c r="LM45" s="22"/>
      <c r="LN45" s="22"/>
      <c r="LO45" s="22"/>
      <c r="LP45" s="22"/>
      <c r="LQ45" s="22"/>
      <c r="LR45" s="22"/>
      <c r="LS45" s="22"/>
      <c r="LT45" s="22"/>
      <c r="LU45" s="22"/>
      <c r="LV45" s="22"/>
      <c r="LW45" s="22"/>
      <c r="LX45" s="22"/>
      <c r="LY45" s="22"/>
      <c r="LZ45" s="22"/>
      <c r="MA45" s="22"/>
      <c r="MB45" s="22"/>
      <c r="MC45" s="22"/>
      <c r="MD45" s="22"/>
      <c r="ME45" s="22"/>
      <c r="MF45" s="22"/>
      <c r="MG45" s="22"/>
      <c r="MH45" s="22"/>
      <c r="MI45" s="22"/>
      <c r="MJ45" s="22"/>
      <c r="MK45" s="22"/>
      <c r="ML45" s="22"/>
      <c r="MM45" s="22"/>
      <c r="MN45" s="22"/>
      <c r="MO45" s="22"/>
      <c r="MP45" s="22"/>
      <c r="MQ45" s="22"/>
      <c r="MR45" s="22"/>
      <c r="MS45" s="22"/>
      <c r="MT45" s="22"/>
      <c r="MU45" s="22"/>
      <c r="MV45" s="22"/>
      <c r="MW45" s="22"/>
      <c r="MX45" s="22"/>
      <c r="MY45" s="22"/>
      <c r="MZ45" s="22"/>
      <c r="NA45" s="22"/>
      <c r="NB45" s="22"/>
      <c r="NC45" s="22"/>
      <c r="ND45" s="22"/>
      <c r="NE45" s="22"/>
      <c r="NF45" s="22"/>
      <c r="NG45" s="22"/>
      <c r="NH45" s="22"/>
      <c r="NI45" s="22"/>
      <c r="NJ45" s="22"/>
      <c r="NK45" s="22"/>
      <c r="NL45" s="22"/>
      <c r="NM45" s="22"/>
      <c r="NN45" s="22"/>
      <c r="NO45" s="22"/>
      <c r="NP45" s="22"/>
      <c r="NQ45" s="22"/>
      <c r="NR45" s="22"/>
      <c r="NS45" s="22"/>
      <c r="NT45" s="22"/>
      <c r="NU45" s="22"/>
      <c r="NV45" s="22"/>
      <c r="NW45" s="22"/>
      <c r="NX45" s="22"/>
      <c r="NY45" s="22"/>
      <c r="NZ45" s="22"/>
      <c r="OA45" s="22"/>
      <c r="OB45" s="22"/>
      <c r="OC45" s="22"/>
      <c r="OD45" s="22"/>
      <c r="OE45" s="22"/>
      <c r="OF45" s="22"/>
      <c r="OG45" s="22"/>
      <c r="OH45" s="22"/>
      <c r="OI45" s="22"/>
      <c r="OJ45" s="22"/>
      <c r="OK45" s="22"/>
      <c r="OL45" s="22"/>
      <c r="OM45" s="22"/>
      <c r="ON45" s="22"/>
      <c r="OO45" s="22"/>
      <c r="OP45" s="22"/>
      <c r="OQ45" s="22"/>
      <c r="OR45" s="22"/>
      <c r="OS45" s="22"/>
      <c r="OT45" s="22"/>
      <c r="OU45" s="22"/>
      <c r="OV45" s="22"/>
      <c r="OW45" s="22"/>
      <c r="OX45" s="22"/>
      <c r="OY45" s="22"/>
      <c r="OZ45" s="22"/>
      <c r="PA45" s="22"/>
      <c r="PB45" s="22"/>
      <c r="PC45" s="22"/>
      <c r="PD45" s="22"/>
      <c r="PE45" s="22"/>
      <c r="PF45" s="22"/>
      <c r="PG45" s="22"/>
      <c r="PH45" s="22"/>
      <c r="PI45" s="22"/>
      <c r="PJ45" s="22"/>
      <c r="PK45" s="22"/>
      <c r="PL45" s="22"/>
      <c r="PM45" s="22"/>
      <c r="PN45" s="22"/>
      <c r="PO45" s="22"/>
      <c r="PP45" s="22"/>
      <c r="PQ45" s="22"/>
      <c r="PR45" s="22"/>
      <c r="PS45" s="22"/>
      <c r="PT45" s="22"/>
      <c r="PU45" s="22"/>
      <c r="PV45" s="22"/>
      <c r="PW45" s="22"/>
      <c r="PX45" s="22"/>
      <c r="PY45" s="22"/>
      <c r="PZ45" s="22"/>
      <c r="QA45" s="22"/>
      <c r="QB45" s="22"/>
      <c r="QC45" s="22"/>
      <c r="QD45" s="22"/>
      <c r="QE45" s="22"/>
      <c r="QF45" s="22"/>
      <c r="QG45" s="22"/>
      <c r="QH45" s="22"/>
      <c r="QI45" s="22"/>
      <c r="QJ45" s="22"/>
      <c r="QK45" s="22"/>
      <c r="QL45" s="22"/>
      <c r="QM45" s="22"/>
      <c r="QN45" s="22"/>
      <c r="QO45" s="22"/>
      <c r="QP45" s="22"/>
      <c r="QQ45" s="22"/>
      <c r="QR45" s="22"/>
      <c r="QS45" s="22"/>
      <c r="QT45" s="22"/>
      <c r="QU45" s="22"/>
      <c r="QV45" s="22"/>
      <c r="QW45" s="22"/>
      <c r="QX45" s="22"/>
      <c r="QY45" s="22"/>
      <c r="QZ45" s="22"/>
      <c r="RA45" s="22"/>
      <c r="RB45" s="22"/>
      <c r="RC45" s="22"/>
      <c r="RD45" s="22"/>
      <c r="RE45" s="22"/>
      <c r="RF45" s="22"/>
      <c r="RG45" s="22"/>
      <c r="RH45" s="22"/>
      <c r="RI45" s="22"/>
      <c r="RJ45" s="22"/>
      <c r="RK45" s="22"/>
      <c r="RL45" s="22"/>
      <c r="RM45" s="22"/>
      <c r="RN45" s="22"/>
      <c r="RO45" s="22"/>
      <c r="RP45" s="22"/>
      <c r="RQ45" s="22"/>
      <c r="RR45" s="22"/>
      <c r="RS45" s="22"/>
      <c r="RT45" s="22"/>
      <c r="RU45" s="22"/>
      <c r="RV45" s="22"/>
      <c r="RW45" s="22"/>
      <c r="RX45" s="22"/>
      <c r="RY45" s="22"/>
      <c r="RZ45" s="22"/>
      <c r="SA45" s="22"/>
      <c r="SB45" s="22"/>
      <c r="SC45" s="22"/>
      <c r="SD45" s="22"/>
      <c r="SE45" s="22"/>
      <c r="SF45" s="22"/>
      <c r="SG45" s="22"/>
      <c r="SH45" s="22"/>
      <c r="SI45" s="22"/>
      <c r="SJ45" s="22"/>
      <c r="SK45" s="22"/>
      <c r="SL45" s="22"/>
      <c r="SM45" s="22"/>
      <c r="SN45" s="22"/>
      <c r="SO45" s="22"/>
      <c r="SP45" s="22"/>
      <c r="SQ45" s="22"/>
      <c r="SR45" s="22"/>
      <c r="SS45" s="22"/>
      <c r="ST45" s="22"/>
      <c r="SU45" s="22"/>
      <c r="SV45" s="22"/>
      <c r="SW45" s="22"/>
      <c r="SX45" s="22"/>
      <c r="SY45" s="22"/>
      <c r="SZ45" s="22"/>
      <c r="TA45" s="22"/>
      <c r="TB45" s="22"/>
      <c r="TC45" s="22"/>
      <c r="TD45" s="22"/>
      <c r="TE45" s="22"/>
      <c r="TF45" s="22"/>
      <c r="TG45" s="22"/>
      <c r="TH45" s="22"/>
      <c r="TI45" s="22"/>
      <c r="TJ45" s="22"/>
      <c r="TK45" s="22"/>
      <c r="TL45" s="22"/>
      <c r="TM45" s="22"/>
      <c r="TN45" s="22"/>
      <c r="TO45" s="22"/>
      <c r="TP45" s="22"/>
      <c r="TQ45" s="22"/>
      <c r="TR45" s="22"/>
      <c r="TS45" s="22"/>
      <c r="TT45" s="22"/>
      <c r="TU45" s="22"/>
      <c r="TV45" s="22"/>
      <c r="TW45" s="22"/>
      <c r="TX45" s="22"/>
      <c r="TY45" s="22"/>
      <c r="TZ45" s="22"/>
      <c r="UA45" s="22"/>
      <c r="UB45" s="22"/>
      <c r="UC45" s="22"/>
      <c r="UD45" s="22"/>
      <c r="UE45" s="22"/>
      <c r="UF45" s="22"/>
      <c r="UG45" s="22"/>
      <c r="UH45" s="22"/>
      <c r="UI45" s="22"/>
      <c r="UJ45" s="22"/>
      <c r="UK45" s="22"/>
      <c r="UL45" s="22"/>
      <c r="UM45" s="22"/>
      <c r="UN45" s="22"/>
      <c r="UO45" s="22"/>
      <c r="UP45" s="22"/>
      <c r="UQ45" s="22"/>
      <c r="UR45" s="22"/>
      <c r="US45" s="22"/>
      <c r="UT45" s="22"/>
      <c r="UU45" s="22"/>
      <c r="UV45" s="22"/>
      <c r="UW45" s="22"/>
      <c r="UX45" s="22"/>
      <c r="UY45" s="22"/>
      <c r="UZ45" s="22"/>
      <c r="VA45" s="22"/>
      <c r="VB45" s="22"/>
      <c r="VC45" s="22"/>
      <c r="VD45" s="22"/>
      <c r="VE45" s="22"/>
      <c r="VF45" s="22"/>
      <c r="VG45" s="22"/>
      <c r="VH45" s="22"/>
      <c r="VI45" s="22"/>
      <c r="VJ45" s="22"/>
      <c r="VK45" s="22"/>
      <c r="VL45" s="22"/>
      <c r="VM45" s="22"/>
      <c r="VN45" s="22"/>
      <c r="VO45" s="22"/>
      <c r="VP45" s="22"/>
      <c r="VQ45" s="22"/>
      <c r="VR45" s="22"/>
      <c r="VS45" s="22"/>
      <c r="VT45" s="22"/>
      <c r="VU45" s="22"/>
      <c r="VV45" s="22"/>
      <c r="VW45" s="22"/>
      <c r="VX45" s="22"/>
      <c r="VY45" s="22"/>
      <c r="VZ45" s="22"/>
      <c r="WA45" s="22"/>
      <c r="WB45" s="22"/>
      <c r="WC45" s="22"/>
      <c r="WD45" s="22"/>
      <c r="WE45" s="22"/>
      <c r="WF45" s="22"/>
      <c r="WG45" s="22"/>
      <c r="WH45" s="22"/>
      <c r="WI45" s="22"/>
      <c r="WJ45" s="22"/>
      <c r="WK45" s="22"/>
      <c r="WL45" s="22"/>
      <c r="WM45" s="22"/>
      <c r="WN45" s="22"/>
      <c r="WO45" s="22"/>
      <c r="WP45" s="22"/>
      <c r="WQ45" s="22"/>
      <c r="WR45" s="22"/>
      <c r="WS45" s="22"/>
      <c r="WT45" s="22"/>
      <c r="WU45" s="22"/>
      <c r="WV45" s="22"/>
      <c r="WW45" s="22"/>
      <c r="WX45" s="22"/>
      <c r="WY45" s="22"/>
      <c r="WZ45" s="22"/>
      <c r="XA45" s="22"/>
      <c r="XB45" s="22"/>
      <c r="XC45" s="22"/>
      <c r="XD45" s="22"/>
      <c r="XE45" s="22"/>
      <c r="XF45" s="22"/>
      <c r="XG45" s="22"/>
      <c r="XH45" s="22"/>
      <c r="XI45" s="22"/>
      <c r="XJ45" s="22"/>
      <c r="XK45" s="22"/>
      <c r="XL45" s="22"/>
      <c r="XM45" s="22"/>
      <c r="XN45" s="22"/>
      <c r="XO45" s="22"/>
      <c r="XP45" s="22"/>
      <c r="XQ45" s="22"/>
      <c r="XR45" s="22"/>
      <c r="XS45" s="22"/>
      <c r="XT45" s="22"/>
      <c r="XU45" s="22"/>
      <c r="XV45" s="22"/>
      <c r="XW45" s="22"/>
      <c r="XX45" s="22"/>
      <c r="XY45" s="22"/>
      <c r="XZ45" s="22"/>
      <c r="YA45" s="22"/>
      <c r="YB45" s="22"/>
      <c r="YC45" s="22"/>
      <c r="YD45" s="22"/>
      <c r="YE45" s="22"/>
      <c r="YF45" s="22"/>
      <c r="YG45" s="22"/>
      <c r="YH45" s="22"/>
      <c r="YI45" s="22"/>
      <c r="YJ45" s="22"/>
      <c r="YK45" s="22"/>
      <c r="YL45" s="22"/>
      <c r="YM45" s="22"/>
      <c r="YN45" s="22"/>
      <c r="YO45" s="22"/>
      <c r="YP45" s="22"/>
      <c r="YQ45" s="22"/>
      <c r="YR45" s="22"/>
      <c r="YS45" s="22"/>
      <c r="YT45" s="22"/>
      <c r="YU45" s="22"/>
      <c r="YV45" s="22"/>
      <c r="YW45" s="22"/>
      <c r="YX45" s="22"/>
      <c r="YY45" s="22"/>
      <c r="YZ45" s="22"/>
      <c r="ZA45" s="22"/>
      <c r="ZB45" s="22"/>
      <c r="ZC45" s="22"/>
      <c r="ZD45" s="22"/>
      <c r="ZE45" s="22"/>
      <c r="ZF45" s="22"/>
      <c r="ZG45" s="22"/>
      <c r="ZH45" s="22"/>
      <c r="ZI45" s="22"/>
      <c r="ZJ45" s="22"/>
      <c r="ZK45" s="22"/>
      <c r="ZL45" s="22"/>
      <c r="ZM45" s="22"/>
      <c r="ZN45" s="22"/>
      <c r="ZO45" s="22"/>
      <c r="ZP45" s="22"/>
      <c r="ZQ45" s="22"/>
      <c r="ZR45" s="22"/>
      <c r="ZS45" s="22"/>
      <c r="ZT45" s="22"/>
      <c r="ZU45" s="22"/>
      <c r="ZV45" s="22"/>
      <c r="ZW45" s="22"/>
      <c r="ZX45" s="22"/>
      <c r="ZY45" s="22"/>
      <c r="ZZ45" s="22"/>
      <c r="AAA45" s="22"/>
      <c r="AAB45" s="22"/>
      <c r="AAC45" s="22"/>
      <c r="AAD45" s="22"/>
      <c r="AAE45" s="22"/>
      <c r="AAF45" s="22"/>
      <c r="AAG45" s="22"/>
      <c r="AAH45" s="22"/>
      <c r="AAI45" s="22"/>
      <c r="AAJ45" s="22"/>
      <c r="AAK45" s="22"/>
      <c r="AAL45" s="22"/>
      <c r="AAM45" s="22"/>
      <c r="AAN45" s="22"/>
      <c r="AAO45" s="22"/>
      <c r="AAP45" s="22"/>
      <c r="AAQ45" s="22"/>
      <c r="AAR45" s="22"/>
      <c r="AAS45" s="22"/>
      <c r="AAT45" s="22"/>
      <c r="AAU45" s="22"/>
      <c r="AAV45" s="22"/>
      <c r="AAW45" s="22"/>
      <c r="AAX45" s="22"/>
      <c r="AAY45" s="22"/>
      <c r="AAZ45" s="22"/>
      <c r="ABA45" s="22"/>
      <c r="ABB45" s="22"/>
      <c r="ABC45" s="22"/>
    </row>
    <row r="46" spans="1:731" ht="15" customHeight="1" x14ac:dyDescent="0.3">
      <c r="A46" s="414"/>
      <c r="B46" s="423"/>
      <c r="C46" s="8"/>
      <c r="D46" s="27" t="s">
        <v>11</v>
      </c>
      <c r="E46" s="73" t="s">
        <v>61</v>
      </c>
      <c r="F46" s="15">
        <f t="shared" ref="F46:G58" si="70">J46/$F$2</f>
        <v>7.9785966826670549</v>
      </c>
      <c r="G46" s="16">
        <f t="shared" si="70"/>
        <v>10.065145797070635</v>
      </c>
      <c r="H46" s="52">
        <f t="shared" si="64"/>
        <v>-2.0865491144035797</v>
      </c>
      <c r="I46" s="14">
        <f t="shared" si="1"/>
        <v>-0.2073044103356009</v>
      </c>
      <c r="J46" s="15">
        <f>'[88]Summary - Apr 25'!$G$5/1000</f>
        <v>2381.86</v>
      </c>
      <c r="K46" s="74">
        <f>'[88]Summary - Apr 25'!$H$5/1000</f>
        <v>3004.76</v>
      </c>
      <c r="L46" s="52">
        <f t="shared" si="65"/>
        <v>-622.90000000000009</v>
      </c>
      <c r="M46" s="14">
        <f t="shared" si="21"/>
        <v>-0.20730441033560087</v>
      </c>
      <c r="N46" s="15">
        <f>'[88]Summary - Apr 25'!$K$5/1000</f>
        <v>2381.86</v>
      </c>
      <c r="O46" s="74">
        <f>'[88]Summary - Apr 25'!$L$5/1000</f>
        <v>3004.76</v>
      </c>
      <c r="P46" s="52">
        <f t="shared" si="66"/>
        <v>-622.90000000000009</v>
      </c>
      <c r="Q46" s="14">
        <f t="shared" si="2"/>
        <v>-0.20730441033560087</v>
      </c>
      <c r="R46" s="57"/>
      <c r="S46" s="16"/>
      <c r="T46" s="52">
        <f t="shared" si="67"/>
        <v>0</v>
      </c>
      <c r="U46" s="14" t="str">
        <f t="shared" si="30"/>
        <v/>
      </c>
      <c r="V46" s="57">
        <f>'[88]Summary - Apr 25'!$O$5/1000</f>
        <v>2248.3249999999998</v>
      </c>
      <c r="W46" s="16">
        <f>'[88]Summary - Apr 25'!$P$5/1000</f>
        <v>1221.193</v>
      </c>
      <c r="X46" s="52">
        <f t="shared" si="68"/>
        <v>1027.1319999999998</v>
      </c>
      <c r="Y46" s="14">
        <f t="shared" si="4"/>
        <v>0.841089000673931</v>
      </c>
      <c r="Z46" s="15">
        <f>'[88]Summary - Apr 25'!$S$5/1000</f>
        <v>133.535</v>
      </c>
      <c r="AA46" s="74">
        <f>'[88]Summary - Apr 25'!$T$5/1000</f>
        <v>1783.567</v>
      </c>
      <c r="AB46" s="52">
        <f t="shared" si="69"/>
        <v>-1650.0319999999999</v>
      </c>
      <c r="AC46" s="19">
        <f t="shared" si="5"/>
        <v>-0.92513037076824134</v>
      </c>
      <c r="AD46" s="131">
        <f>0</f>
        <v>0</v>
      </c>
      <c r="AE46" s="138">
        <v>0</v>
      </c>
      <c r="AF46" s="108">
        <f t="shared" si="6"/>
        <v>0</v>
      </c>
      <c r="AG46" s="113">
        <v>0</v>
      </c>
      <c r="AH46" s="142">
        <v>0</v>
      </c>
      <c r="AI46" s="127">
        <v>0</v>
      </c>
      <c r="AJ46" s="108">
        <f t="shared" si="8"/>
        <v>0</v>
      </c>
      <c r="AK46" s="19">
        <v>0</v>
      </c>
      <c r="AL46" s="144">
        <f>'[88]Summary - Apr 25'!$S$5/1000</f>
        <v>133.535</v>
      </c>
      <c r="AM46" s="133">
        <f>'[88]Summary - Apr 25'!$T$5/1000</f>
        <v>1783.567</v>
      </c>
      <c r="AN46" s="13">
        <f t="shared" si="9"/>
        <v>-1650.0319999999999</v>
      </c>
      <c r="AO46" s="19">
        <f t="shared" si="10"/>
        <v>-0.92513037076824134</v>
      </c>
      <c r="AP46" s="51" t="s">
        <v>130</v>
      </c>
      <c r="AQ46" s="22"/>
      <c r="AR46" s="1">
        <f t="shared" si="11"/>
        <v>3.1263880373444408E-13</v>
      </c>
      <c r="AS46" s="1">
        <f t="shared" si="12"/>
        <v>0</v>
      </c>
      <c r="AT46" s="1">
        <f t="shared" si="13"/>
        <v>0</v>
      </c>
      <c r="AU46" s="1">
        <f t="shared" si="14"/>
        <v>0</v>
      </c>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c r="FT46" s="22"/>
      <c r="FU46" s="22"/>
      <c r="FV46" s="22"/>
      <c r="FW46" s="22"/>
      <c r="FX46" s="22"/>
      <c r="FY46" s="22"/>
      <c r="FZ46" s="22"/>
      <c r="GA46" s="22"/>
      <c r="GB46" s="22"/>
      <c r="GC46" s="22"/>
      <c r="GD46" s="22"/>
      <c r="GE46" s="22"/>
      <c r="GF46" s="22"/>
      <c r="GG46" s="22"/>
      <c r="GH46" s="22"/>
      <c r="GI46" s="22"/>
      <c r="GJ46" s="22"/>
      <c r="GK46" s="22"/>
      <c r="GL46" s="22"/>
      <c r="GM46" s="22"/>
      <c r="GN46" s="22"/>
      <c r="GO46" s="22"/>
      <c r="GP46" s="22"/>
      <c r="GQ46" s="22"/>
      <c r="GR46" s="22"/>
      <c r="GS46" s="22"/>
      <c r="GT46" s="22"/>
      <c r="GU46" s="22"/>
      <c r="GV46" s="22"/>
      <c r="GW46" s="22"/>
      <c r="GX46" s="22"/>
      <c r="GY46" s="22"/>
      <c r="GZ46" s="22"/>
      <c r="HA46" s="22"/>
      <c r="HB46" s="22"/>
      <c r="HC46" s="22"/>
      <c r="HD46" s="22"/>
      <c r="HE46" s="22"/>
      <c r="HF46" s="22"/>
      <c r="HG46" s="22"/>
      <c r="HH46" s="22"/>
      <c r="HI46" s="22"/>
      <c r="HJ46" s="22"/>
      <c r="HK46" s="22"/>
      <c r="HL46" s="22"/>
      <c r="HM46" s="22"/>
      <c r="HN46" s="22"/>
      <c r="HO46" s="22"/>
      <c r="HP46" s="22"/>
      <c r="HQ46" s="22"/>
      <c r="HR46" s="22"/>
      <c r="HS46" s="22"/>
      <c r="HT46" s="22"/>
      <c r="HU46" s="22"/>
      <c r="HV46" s="22"/>
      <c r="HW46" s="22"/>
      <c r="HX46" s="22"/>
      <c r="HY46" s="22"/>
      <c r="HZ46" s="22"/>
      <c r="IA46" s="22"/>
      <c r="IB46" s="22"/>
      <c r="IC46" s="22"/>
      <c r="ID46" s="22"/>
      <c r="IE46" s="22"/>
      <c r="IF46" s="22"/>
      <c r="IG46" s="22"/>
      <c r="IH46" s="22"/>
      <c r="II46" s="22"/>
      <c r="IJ46" s="22"/>
      <c r="IK46" s="22"/>
      <c r="IL46" s="22"/>
      <c r="IM46" s="22"/>
      <c r="IN46" s="22"/>
      <c r="IO46" s="22"/>
      <c r="IP46" s="22"/>
      <c r="IQ46" s="22"/>
      <c r="IR46" s="22"/>
      <c r="IS46" s="22"/>
      <c r="IT46" s="22"/>
      <c r="IU46" s="22"/>
      <c r="IV46" s="22"/>
      <c r="IW46" s="22"/>
      <c r="IX46" s="22"/>
      <c r="IY46" s="22"/>
      <c r="IZ46" s="22"/>
      <c r="JA46" s="22"/>
      <c r="JB46" s="22"/>
      <c r="JC46" s="22"/>
      <c r="JD46" s="22"/>
      <c r="JE46" s="22"/>
      <c r="JJ46" s="22"/>
      <c r="JK46" s="22"/>
      <c r="JL46" s="22"/>
      <c r="JM46" s="22"/>
      <c r="JN46" s="22"/>
      <c r="JO46" s="22"/>
      <c r="JP46" s="22"/>
      <c r="JQ46" s="22"/>
      <c r="JR46" s="22"/>
      <c r="JS46" s="22"/>
      <c r="JT46" s="22"/>
      <c r="JU46" s="22"/>
      <c r="JV46" s="22"/>
      <c r="JW46" s="22"/>
      <c r="JX46" s="22"/>
      <c r="JY46" s="22"/>
      <c r="JZ46" s="22"/>
      <c r="KA46" s="22"/>
      <c r="KB46" s="22"/>
      <c r="KC46" s="22"/>
      <c r="KD46" s="22"/>
      <c r="KE46" s="22"/>
      <c r="KF46" s="22"/>
      <c r="KG46" s="22"/>
      <c r="KH46" s="22"/>
      <c r="KI46" s="22"/>
      <c r="KJ46" s="22"/>
      <c r="KK46" s="22"/>
      <c r="KL46" s="22"/>
      <c r="KM46" s="22"/>
      <c r="KN46" s="22"/>
      <c r="KO46" s="22"/>
      <c r="KP46" s="22"/>
      <c r="KQ46" s="22"/>
      <c r="KR46" s="22"/>
      <c r="KS46" s="22"/>
      <c r="KT46" s="22"/>
      <c r="KU46" s="22"/>
      <c r="KV46" s="22"/>
      <c r="KW46" s="22"/>
      <c r="KX46" s="22"/>
      <c r="KY46" s="22"/>
      <c r="KZ46" s="22"/>
      <c r="LA46" s="22"/>
      <c r="LB46" s="22"/>
      <c r="LC46" s="22"/>
      <c r="LD46" s="22"/>
      <c r="LE46" s="22"/>
      <c r="LF46" s="22"/>
      <c r="LG46" s="22"/>
      <c r="LH46" s="22"/>
      <c r="LI46" s="22"/>
      <c r="LJ46" s="22"/>
      <c r="LK46" s="22"/>
      <c r="LL46" s="22"/>
      <c r="LM46" s="22"/>
      <c r="LN46" s="22"/>
      <c r="LO46" s="22"/>
      <c r="LP46" s="22"/>
      <c r="LQ46" s="22"/>
      <c r="LR46" s="22"/>
      <c r="LS46" s="22"/>
      <c r="LT46" s="22"/>
      <c r="LU46" s="22"/>
      <c r="LV46" s="22"/>
      <c r="LW46" s="22"/>
      <c r="LX46" s="22"/>
      <c r="LY46" s="22"/>
      <c r="LZ46" s="22"/>
      <c r="MA46" s="22"/>
      <c r="MB46" s="22"/>
      <c r="MC46" s="22"/>
      <c r="MD46" s="22"/>
      <c r="ME46" s="22"/>
      <c r="MF46" s="22"/>
      <c r="MG46" s="22"/>
      <c r="MH46" s="22"/>
      <c r="MI46" s="22"/>
      <c r="MJ46" s="22"/>
      <c r="MK46" s="22"/>
      <c r="ML46" s="22"/>
      <c r="MM46" s="22"/>
      <c r="MN46" s="22"/>
      <c r="MO46" s="22"/>
      <c r="MP46" s="22"/>
      <c r="MQ46" s="22"/>
      <c r="MR46" s="22"/>
      <c r="MS46" s="22"/>
      <c r="MT46" s="22"/>
      <c r="MU46" s="22"/>
      <c r="MV46" s="22"/>
      <c r="MW46" s="22"/>
      <c r="MX46" s="22"/>
      <c r="MY46" s="22"/>
      <c r="MZ46" s="22"/>
      <c r="NA46" s="22"/>
      <c r="NB46" s="22"/>
      <c r="NC46" s="22"/>
      <c r="ND46" s="22"/>
      <c r="NE46" s="22"/>
      <c r="NF46" s="22"/>
      <c r="NG46" s="22"/>
      <c r="NH46" s="22"/>
      <c r="NI46" s="22"/>
      <c r="NJ46" s="22"/>
      <c r="NK46" s="22"/>
      <c r="NL46" s="22"/>
      <c r="NM46" s="22"/>
      <c r="NN46" s="22"/>
      <c r="NO46" s="22"/>
      <c r="NP46" s="22"/>
      <c r="NQ46" s="22"/>
      <c r="NR46" s="22"/>
      <c r="NS46" s="22"/>
      <c r="NT46" s="22"/>
      <c r="NU46" s="22"/>
      <c r="NV46" s="22"/>
      <c r="NW46" s="22"/>
      <c r="NX46" s="22"/>
      <c r="NY46" s="22"/>
      <c r="NZ46" s="22"/>
      <c r="OA46" s="22"/>
      <c r="OB46" s="22"/>
      <c r="OC46" s="22"/>
      <c r="OD46" s="22"/>
      <c r="OE46" s="22"/>
      <c r="OF46" s="22"/>
      <c r="OG46" s="22"/>
      <c r="OH46" s="22"/>
      <c r="OI46" s="22"/>
      <c r="OJ46" s="22"/>
      <c r="OK46" s="22"/>
      <c r="OL46" s="22"/>
      <c r="OM46" s="22"/>
      <c r="ON46" s="22"/>
      <c r="OO46" s="22"/>
      <c r="OP46" s="22"/>
      <c r="OQ46" s="22"/>
      <c r="OR46" s="22"/>
      <c r="OS46" s="22"/>
      <c r="OT46" s="22"/>
      <c r="OU46" s="22"/>
      <c r="OV46" s="22"/>
      <c r="OW46" s="22"/>
      <c r="OX46" s="22"/>
      <c r="OY46" s="22"/>
      <c r="OZ46" s="22"/>
      <c r="PA46" s="22"/>
      <c r="PB46" s="22"/>
      <c r="PC46" s="22"/>
      <c r="PD46" s="22"/>
      <c r="PE46" s="22"/>
      <c r="PF46" s="22"/>
      <c r="PG46" s="22"/>
      <c r="PH46" s="22"/>
      <c r="PI46" s="22"/>
      <c r="PJ46" s="22"/>
      <c r="PK46" s="22"/>
      <c r="PL46" s="22"/>
      <c r="PM46" s="22"/>
      <c r="PN46" s="22"/>
      <c r="PO46" s="22"/>
      <c r="PP46" s="22"/>
      <c r="PQ46" s="22"/>
      <c r="PR46" s="22"/>
      <c r="PS46" s="22"/>
      <c r="PT46" s="22"/>
      <c r="PU46" s="22"/>
      <c r="PV46" s="22"/>
      <c r="PW46" s="22"/>
      <c r="PX46" s="22"/>
      <c r="PY46" s="22"/>
      <c r="PZ46" s="22"/>
      <c r="QA46" s="22"/>
      <c r="QB46" s="22"/>
      <c r="QC46" s="22"/>
      <c r="QD46" s="22"/>
      <c r="QE46" s="22"/>
      <c r="QF46" s="22"/>
      <c r="QG46" s="22"/>
      <c r="QH46" s="22"/>
      <c r="QI46" s="22"/>
      <c r="QJ46" s="22"/>
      <c r="QK46" s="22"/>
      <c r="QL46" s="22"/>
      <c r="QM46" s="22"/>
      <c r="QN46" s="22"/>
      <c r="QO46" s="22"/>
      <c r="QP46" s="22"/>
      <c r="QQ46" s="22"/>
      <c r="QR46" s="22"/>
      <c r="QS46" s="22"/>
      <c r="QT46" s="22"/>
      <c r="QU46" s="22"/>
      <c r="QV46" s="22"/>
      <c r="QW46" s="22"/>
      <c r="QX46" s="22"/>
      <c r="QY46" s="22"/>
      <c r="QZ46" s="22"/>
      <c r="RA46" s="22"/>
      <c r="RB46" s="22"/>
      <c r="RC46" s="22"/>
      <c r="RD46" s="22"/>
      <c r="RE46" s="22"/>
      <c r="RF46" s="22"/>
      <c r="RG46" s="22"/>
      <c r="RH46" s="22"/>
      <c r="RI46" s="22"/>
      <c r="RJ46" s="22"/>
      <c r="RK46" s="22"/>
      <c r="RL46" s="22"/>
      <c r="RM46" s="22"/>
      <c r="RN46" s="22"/>
      <c r="RO46" s="22"/>
      <c r="RP46" s="22"/>
      <c r="RQ46" s="22"/>
      <c r="RR46" s="22"/>
      <c r="RS46" s="22"/>
      <c r="RT46" s="22"/>
      <c r="RU46" s="22"/>
      <c r="RV46" s="22"/>
      <c r="RW46" s="22"/>
      <c r="RX46" s="22"/>
      <c r="RY46" s="22"/>
      <c r="RZ46" s="22"/>
      <c r="SA46" s="22"/>
      <c r="SB46" s="22"/>
      <c r="SC46" s="22"/>
      <c r="SD46" s="22"/>
      <c r="SE46" s="22"/>
      <c r="SF46" s="22"/>
      <c r="SG46" s="22"/>
      <c r="SH46" s="22"/>
      <c r="SI46" s="22"/>
      <c r="SJ46" s="22"/>
      <c r="SK46" s="22"/>
      <c r="SL46" s="22"/>
      <c r="SM46" s="22"/>
      <c r="SN46" s="22"/>
      <c r="SO46" s="22"/>
      <c r="SP46" s="22"/>
      <c r="SQ46" s="22"/>
      <c r="SR46" s="22"/>
      <c r="SS46" s="22"/>
      <c r="ST46" s="22"/>
      <c r="SU46" s="22"/>
      <c r="SV46" s="22"/>
      <c r="SW46" s="22"/>
      <c r="SX46" s="22"/>
      <c r="SY46" s="22"/>
      <c r="SZ46" s="22"/>
      <c r="TA46" s="22"/>
      <c r="TB46" s="22"/>
      <c r="TC46" s="22"/>
      <c r="TD46" s="22"/>
      <c r="TE46" s="22"/>
      <c r="TF46" s="22"/>
      <c r="TG46" s="22"/>
      <c r="TH46" s="22"/>
      <c r="TI46" s="22"/>
      <c r="TJ46" s="22"/>
      <c r="TK46" s="22"/>
      <c r="TL46" s="22"/>
      <c r="TM46" s="22"/>
      <c r="TN46" s="22"/>
      <c r="TO46" s="22"/>
      <c r="TP46" s="22"/>
      <c r="TQ46" s="22"/>
      <c r="TR46" s="22"/>
      <c r="TS46" s="22"/>
      <c r="TT46" s="22"/>
      <c r="TU46" s="22"/>
      <c r="TV46" s="22"/>
      <c r="TW46" s="22"/>
      <c r="TX46" s="22"/>
      <c r="TY46" s="22"/>
      <c r="TZ46" s="22"/>
      <c r="UA46" s="22"/>
      <c r="UB46" s="22"/>
      <c r="UC46" s="22"/>
      <c r="UD46" s="22"/>
      <c r="UE46" s="22"/>
      <c r="UF46" s="22"/>
      <c r="UG46" s="22"/>
      <c r="UH46" s="22"/>
      <c r="UI46" s="22"/>
      <c r="UJ46" s="22"/>
      <c r="UK46" s="22"/>
      <c r="UL46" s="22"/>
      <c r="UM46" s="22"/>
      <c r="UN46" s="22"/>
      <c r="UO46" s="22"/>
      <c r="UP46" s="22"/>
      <c r="UQ46" s="22"/>
      <c r="UR46" s="22"/>
      <c r="US46" s="22"/>
      <c r="UT46" s="22"/>
      <c r="UU46" s="22"/>
      <c r="UV46" s="22"/>
      <c r="UW46" s="22"/>
      <c r="UX46" s="22"/>
      <c r="UY46" s="22"/>
      <c r="UZ46" s="22"/>
      <c r="VA46" s="22"/>
      <c r="VB46" s="22"/>
      <c r="VC46" s="22"/>
      <c r="VD46" s="22"/>
      <c r="VE46" s="22"/>
      <c r="VF46" s="22"/>
      <c r="VG46" s="22"/>
      <c r="VH46" s="22"/>
      <c r="VI46" s="22"/>
      <c r="VJ46" s="22"/>
      <c r="VK46" s="22"/>
      <c r="VL46" s="22"/>
      <c r="VM46" s="22"/>
      <c r="VN46" s="22"/>
      <c r="VO46" s="22"/>
      <c r="VP46" s="22"/>
      <c r="VQ46" s="22"/>
      <c r="VR46" s="22"/>
      <c r="VS46" s="22"/>
      <c r="VT46" s="22"/>
      <c r="VU46" s="22"/>
      <c r="VV46" s="22"/>
      <c r="VW46" s="22"/>
      <c r="VX46" s="22"/>
      <c r="VY46" s="22"/>
      <c r="VZ46" s="22"/>
      <c r="WA46" s="22"/>
      <c r="WB46" s="22"/>
      <c r="WC46" s="22"/>
      <c r="WD46" s="22"/>
      <c r="WE46" s="22"/>
      <c r="WF46" s="22"/>
      <c r="WG46" s="22"/>
      <c r="WH46" s="22"/>
      <c r="WI46" s="22"/>
      <c r="WJ46" s="22"/>
      <c r="WK46" s="22"/>
      <c r="WL46" s="22"/>
      <c r="WM46" s="22"/>
      <c r="WN46" s="22"/>
      <c r="WO46" s="22"/>
      <c r="WP46" s="22"/>
      <c r="WQ46" s="22"/>
      <c r="WR46" s="22"/>
      <c r="WS46" s="22"/>
      <c r="WT46" s="22"/>
      <c r="WU46" s="22"/>
      <c r="WV46" s="22"/>
      <c r="WW46" s="22"/>
      <c r="WX46" s="22"/>
      <c r="WY46" s="22"/>
      <c r="WZ46" s="22"/>
      <c r="XA46" s="22"/>
      <c r="XB46" s="22"/>
      <c r="XC46" s="22"/>
      <c r="XD46" s="22"/>
      <c r="XE46" s="22"/>
      <c r="XF46" s="22"/>
      <c r="XG46" s="22"/>
      <c r="XH46" s="22"/>
      <c r="XI46" s="22"/>
      <c r="XJ46" s="22"/>
      <c r="XK46" s="22"/>
      <c r="XL46" s="22"/>
      <c r="XM46" s="22"/>
      <c r="XN46" s="22"/>
      <c r="XO46" s="22"/>
      <c r="XP46" s="22"/>
      <c r="XQ46" s="22"/>
      <c r="XR46" s="22"/>
      <c r="XS46" s="22"/>
      <c r="XT46" s="22"/>
      <c r="XU46" s="22"/>
      <c r="XV46" s="22"/>
      <c r="XW46" s="22"/>
      <c r="XX46" s="22"/>
      <c r="XY46" s="22"/>
      <c r="XZ46" s="22"/>
      <c r="YA46" s="22"/>
      <c r="YB46" s="22"/>
      <c r="YC46" s="22"/>
      <c r="YD46" s="22"/>
      <c r="YE46" s="22"/>
      <c r="YF46" s="22"/>
      <c r="YG46" s="22"/>
      <c r="YH46" s="22"/>
      <c r="YI46" s="22"/>
      <c r="YJ46" s="22"/>
      <c r="YK46" s="22"/>
      <c r="YL46" s="22"/>
      <c r="YM46" s="22"/>
      <c r="YN46" s="22"/>
      <c r="YO46" s="22"/>
      <c r="YP46" s="22"/>
      <c r="YQ46" s="22"/>
      <c r="YR46" s="22"/>
      <c r="YS46" s="22"/>
      <c r="YT46" s="22"/>
      <c r="YU46" s="22"/>
      <c r="YV46" s="22"/>
      <c r="YW46" s="22"/>
      <c r="YX46" s="22"/>
      <c r="YY46" s="22"/>
      <c r="YZ46" s="22"/>
      <c r="ZA46" s="22"/>
      <c r="ZB46" s="22"/>
      <c r="ZC46" s="22"/>
      <c r="ZD46" s="22"/>
      <c r="ZE46" s="22"/>
      <c r="ZF46" s="22"/>
      <c r="ZG46" s="22"/>
      <c r="ZH46" s="22"/>
      <c r="ZI46" s="22"/>
      <c r="ZJ46" s="22"/>
      <c r="ZK46" s="22"/>
      <c r="ZL46" s="22"/>
      <c r="ZM46" s="22"/>
      <c r="ZN46" s="22"/>
      <c r="ZO46" s="22"/>
      <c r="ZP46" s="22"/>
      <c r="ZQ46" s="22"/>
      <c r="ZR46" s="22"/>
      <c r="ZS46" s="22"/>
      <c r="ZT46" s="22"/>
      <c r="ZU46" s="22"/>
      <c r="ZV46" s="22"/>
      <c r="ZW46" s="22"/>
      <c r="ZX46" s="22"/>
      <c r="ZY46" s="22"/>
      <c r="ZZ46" s="22"/>
      <c r="AAA46" s="22"/>
      <c r="AAB46" s="22"/>
      <c r="AAC46" s="22"/>
      <c r="AAD46" s="22"/>
      <c r="AAE46" s="22"/>
      <c r="AAF46" s="22"/>
      <c r="AAG46" s="22"/>
      <c r="AAH46" s="22"/>
      <c r="AAI46" s="22"/>
      <c r="AAJ46" s="22"/>
      <c r="AAK46" s="22"/>
      <c r="AAL46" s="22"/>
      <c r="AAM46" s="22"/>
      <c r="AAN46" s="22"/>
      <c r="AAO46" s="22"/>
      <c r="AAP46" s="22"/>
      <c r="AAQ46" s="22"/>
      <c r="AAR46" s="22"/>
      <c r="AAS46" s="22"/>
      <c r="AAT46" s="22"/>
      <c r="AAU46" s="22"/>
      <c r="AAV46" s="22"/>
      <c r="AAW46" s="22"/>
      <c r="AAX46" s="22"/>
      <c r="AAY46" s="22"/>
      <c r="AAZ46" s="22"/>
      <c r="ABA46" s="22"/>
      <c r="ABB46" s="22"/>
      <c r="ABC46" s="22"/>
    </row>
    <row r="47" spans="1:731" ht="15" customHeight="1" x14ac:dyDescent="0.3">
      <c r="A47" s="414"/>
      <c r="B47" s="423"/>
      <c r="C47" s="8"/>
      <c r="D47" s="27" t="s">
        <v>11</v>
      </c>
      <c r="E47" s="73" t="s">
        <v>62</v>
      </c>
      <c r="F47" s="15">
        <f t="shared" si="70"/>
        <v>2.1514870516837643</v>
      </c>
      <c r="G47" s="16">
        <f t="shared" si="70"/>
        <v>3.1986640486323514</v>
      </c>
      <c r="H47" s="52">
        <f t="shared" si="64"/>
        <v>-1.0471769969485871</v>
      </c>
      <c r="I47" s="14">
        <f t="shared" si="1"/>
        <v>-0.32737948750708196</v>
      </c>
      <c r="J47" s="15">
        <f>'[88]Summary - Apr 25'!$G$6/1000</f>
        <v>642.28599999999994</v>
      </c>
      <c r="K47" s="74">
        <f>'[88]Summary - Apr 25'!$H$6/1000</f>
        <v>954.90099999999995</v>
      </c>
      <c r="L47" s="52">
        <f t="shared" si="65"/>
        <v>-312.61500000000001</v>
      </c>
      <c r="M47" s="14">
        <f t="shared" si="21"/>
        <v>-0.3273794875070819</v>
      </c>
      <c r="N47" s="15">
        <f>'[88]Summary - Apr 25'!$K$6/1000</f>
        <v>642.28599999999994</v>
      </c>
      <c r="O47" s="74">
        <f>'[88]Summary - Apr 25'!$L$6/1000</f>
        <v>954.90099999999995</v>
      </c>
      <c r="P47" s="52">
        <f t="shared" si="66"/>
        <v>-312.61500000000001</v>
      </c>
      <c r="Q47" s="14">
        <f t="shared" si="2"/>
        <v>-0.3273794875070819</v>
      </c>
      <c r="R47" s="57">
        <f>0</f>
        <v>0</v>
      </c>
      <c r="S47" s="16"/>
      <c r="T47" s="52">
        <f t="shared" si="67"/>
        <v>0</v>
      </c>
      <c r="U47" s="14" t="str">
        <f t="shared" si="30"/>
        <v/>
      </c>
      <c r="V47" s="57">
        <f>'[88]Summary - Apr 25'!$O$6/1000</f>
        <v>745.46423287671234</v>
      </c>
      <c r="W47" s="16">
        <f>'[88]Summary - Apr 25'!$P$6/1000</f>
        <v>818.25</v>
      </c>
      <c r="X47" s="52">
        <f t="shared" si="68"/>
        <v>-72.785767123287656</v>
      </c>
      <c r="Y47" s="14">
        <f t="shared" si="4"/>
        <v>-8.8952969292132797E-2</v>
      </c>
      <c r="Z47" s="15">
        <f>'[88]Summary - Apr 25'!$S$6/1000</f>
        <v>-103.17823287671234</v>
      </c>
      <c r="AA47" s="74">
        <f>'[88]Summary - Apr 25'!$T$6/1000</f>
        <v>136.65100000000001</v>
      </c>
      <c r="AB47" s="52">
        <f t="shared" si="69"/>
        <v>-239.82923287671235</v>
      </c>
      <c r="AC47" s="19">
        <f t="shared" si="5"/>
        <v>-1.7550492340100865</v>
      </c>
      <c r="AD47" s="137">
        <v>0</v>
      </c>
      <c r="AE47" s="138">
        <v>0</v>
      </c>
      <c r="AF47" s="108">
        <f t="shared" si="6"/>
        <v>0</v>
      </c>
      <c r="AG47" s="113">
        <v>0</v>
      </c>
      <c r="AH47" s="142">
        <v>0</v>
      </c>
      <c r="AI47" s="127">
        <v>0</v>
      </c>
      <c r="AJ47" s="108">
        <f t="shared" si="8"/>
        <v>0</v>
      </c>
      <c r="AK47" s="19">
        <v>0</v>
      </c>
      <c r="AL47" s="141">
        <f>'[88]Summary - Apr 25'!$S$6/1000</f>
        <v>-103.17823287671234</v>
      </c>
      <c r="AM47" s="135">
        <f>'[88]Summary - Apr 25'!$T$6/1000</f>
        <v>136.65100000000001</v>
      </c>
      <c r="AN47" s="13">
        <f t="shared" si="9"/>
        <v>-239.82923287671235</v>
      </c>
      <c r="AO47" s="19">
        <v>0</v>
      </c>
      <c r="AP47" s="51" t="s">
        <v>131</v>
      </c>
      <c r="AQ47" s="22"/>
      <c r="AR47" s="1">
        <f t="shared" si="11"/>
        <v>0</v>
      </c>
      <c r="AS47" s="1">
        <f t="shared" si="12"/>
        <v>0</v>
      </c>
      <c r="AT47" s="1">
        <f t="shared" si="13"/>
        <v>0</v>
      </c>
      <c r="AU47" s="1">
        <f t="shared" si="14"/>
        <v>0</v>
      </c>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22"/>
      <c r="HB47" s="22"/>
      <c r="HC47" s="22"/>
      <c r="HD47" s="22"/>
      <c r="HE47" s="22"/>
      <c r="HF47" s="22"/>
      <c r="HG47" s="22"/>
      <c r="HH47" s="22"/>
      <c r="HI47" s="22"/>
      <c r="HJ47" s="22"/>
      <c r="HK47" s="22"/>
      <c r="HL47" s="22"/>
      <c r="HM47" s="22"/>
      <c r="HN47" s="22"/>
      <c r="HO47" s="22"/>
      <c r="HP47" s="22"/>
      <c r="HQ47" s="22"/>
      <c r="HR47" s="22"/>
      <c r="HS47" s="22"/>
      <c r="HT47" s="22"/>
      <c r="HU47" s="22"/>
      <c r="HV47" s="22"/>
      <c r="HW47" s="22"/>
      <c r="HX47" s="22"/>
      <c r="HY47" s="22"/>
      <c r="HZ47" s="22"/>
      <c r="IA47" s="22"/>
      <c r="IB47" s="22"/>
      <c r="IC47" s="22"/>
      <c r="ID47" s="22"/>
      <c r="IE47" s="22"/>
      <c r="IF47" s="22"/>
      <c r="IG47" s="22"/>
      <c r="IH47" s="22"/>
      <c r="II47" s="22"/>
      <c r="IJ47" s="22"/>
      <c r="IK47" s="22"/>
      <c r="IL47" s="22"/>
      <c r="IM47" s="22"/>
      <c r="IN47" s="22"/>
      <c r="IO47" s="22"/>
      <c r="IP47" s="22"/>
      <c r="IQ47" s="22"/>
      <c r="IR47" s="22"/>
      <c r="IS47" s="22"/>
      <c r="IT47" s="22"/>
      <c r="IU47" s="22"/>
      <c r="IV47" s="22"/>
      <c r="IW47" s="22"/>
      <c r="IX47" s="22"/>
      <c r="IY47" s="22"/>
      <c r="IZ47" s="22"/>
      <c r="JA47" s="22"/>
      <c r="JB47" s="22"/>
      <c r="JC47" s="22"/>
      <c r="JD47" s="22"/>
      <c r="JE47" s="22"/>
      <c r="JJ47" s="22"/>
      <c r="JK47" s="22"/>
      <c r="JL47" s="22"/>
      <c r="JM47" s="22"/>
      <c r="JN47" s="22"/>
      <c r="JO47" s="22"/>
      <c r="JP47" s="22"/>
      <c r="JQ47" s="22"/>
      <c r="JR47" s="22"/>
      <c r="JS47" s="22"/>
      <c r="JT47" s="22"/>
      <c r="JU47" s="22"/>
      <c r="JV47" s="22"/>
      <c r="JW47" s="22"/>
      <c r="JX47" s="22"/>
      <c r="JY47" s="22"/>
      <c r="JZ47" s="22"/>
      <c r="KA47" s="22"/>
      <c r="KB47" s="22"/>
      <c r="KC47" s="22"/>
      <c r="KD47" s="22"/>
      <c r="KE47" s="22"/>
      <c r="KF47" s="22"/>
      <c r="KG47" s="22"/>
      <c r="KH47" s="22"/>
      <c r="KI47" s="22"/>
      <c r="KJ47" s="22"/>
      <c r="KK47" s="22"/>
      <c r="KL47" s="22"/>
      <c r="KM47" s="22"/>
      <c r="KN47" s="22"/>
      <c r="KO47" s="22"/>
      <c r="KP47" s="22"/>
      <c r="KQ47" s="22"/>
      <c r="KR47" s="22"/>
      <c r="KS47" s="22"/>
      <c r="KT47" s="22"/>
      <c r="KU47" s="22"/>
      <c r="KV47" s="22"/>
      <c r="KW47" s="22"/>
      <c r="KX47" s="22"/>
      <c r="KY47" s="22"/>
      <c r="KZ47" s="22"/>
      <c r="LA47" s="22"/>
      <c r="LB47" s="22"/>
      <c r="LC47" s="22"/>
      <c r="LD47" s="22"/>
      <c r="LE47" s="22"/>
      <c r="LF47" s="22"/>
      <c r="LG47" s="22"/>
      <c r="LH47" s="22"/>
      <c r="LI47" s="22"/>
      <c r="LJ47" s="22"/>
      <c r="LK47" s="22"/>
      <c r="LL47" s="22"/>
      <c r="LM47" s="22"/>
      <c r="LN47" s="22"/>
      <c r="LO47" s="22"/>
      <c r="LP47" s="22"/>
      <c r="LQ47" s="22"/>
      <c r="LR47" s="22"/>
      <c r="LS47" s="22"/>
      <c r="LT47" s="22"/>
      <c r="LU47" s="22"/>
      <c r="LV47" s="22"/>
      <c r="LW47" s="22"/>
      <c r="LX47" s="22"/>
      <c r="LY47" s="22"/>
      <c r="LZ47" s="22"/>
      <c r="MA47" s="22"/>
      <c r="MB47" s="22"/>
      <c r="MC47" s="22"/>
      <c r="MD47" s="22"/>
      <c r="ME47" s="22"/>
      <c r="MF47" s="22"/>
      <c r="MG47" s="22"/>
      <c r="MH47" s="22"/>
      <c r="MI47" s="22"/>
      <c r="MJ47" s="22"/>
      <c r="MK47" s="22"/>
      <c r="ML47" s="22"/>
      <c r="MM47" s="22"/>
      <c r="MN47" s="22"/>
      <c r="MO47" s="22"/>
      <c r="MP47" s="22"/>
      <c r="MQ47" s="22"/>
      <c r="MR47" s="22"/>
      <c r="MS47" s="22"/>
      <c r="MT47" s="22"/>
      <c r="MU47" s="22"/>
      <c r="MV47" s="22"/>
      <c r="MW47" s="22"/>
      <c r="MX47" s="22"/>
      <c r="MY47" s="22"/>
      <c r="MZ47" s="22"/>
      <c r="NA47" s="22"/>
      <c r="NB47" s="22"/>
      <c r="NC47" s="22"/>
      <c r="ND47" s="22"/>
      <c r="NE47" s="22"/>
      <c r="NF47" s="22"/>
      <c r="NG47" s="22"/>
      <c r="NH47" s="22"/>
      <c r="NI47" s="22"/>
      <c r="NJ47" s="22"/>
      <c r="NK47" s="22"/>
      <c r="NL47" s="22"/>
      <c r="NM47" s="22"/>
      <c r="NN47" s="22"/>
      <c r="NO47" s="22"/>
      <c r="NP47" s="22"/>
      <c r="NQ47" s="22"/>
      <c r="NR47" s="22"/>
      <c r="NS47" s="22"/>
      <c r="NT47" s="22"/>
      <c r="NU47" s="22"/>
      <c r="NV47" s="22"/>
      <c r="NW47" s="22"/>
      <c r="NX47" s="22"/>
      <c r="NY47" s="22"/>
      <c r="NZ47" s="22"/>
      <c r="OA47" s="22"/>
      <c r="OB47" s="22"/>
      <c r="OC47" s="22"/>
      <c r="OD47" s="22"/>
      <c r="OE47" s="22"/>
      <c r="OF47" s="22"/>
      <c r="OG47" s="22"/>
      <c r="OH47" s="22"/>
      <c r="OI47" s="22"/>
      <c r="OJ47" s="22"/>
      <c r="OK47" s="22"/>
      <c r="OL47" s="22"/>
      <c r="OM47" s="22"/>
      <c r="ON47" s="22"/>
      <c r="OO47" s="22"/>
      <c r="OP47" s="22"/>
      <c r="OQ47" s="22"/>
      <c r="OR47" s="22"/>
      <c r="OS47" s="22"/>
      <c r="OT47" s="22"/>
      <c r="OU47" s="22"/>
      <c r="OV47" s="22"/>
      <c r="OW47" s="22"/>
      <c r="OX47" s="22"/>
      <c r="OY47" s="22"/>
      <c r="OZ47" s="22"/>
      <c r="PA47" s="22"/>
      <c r="PB47" s="22"/>
      <c r="PC47" s="22"/>
      <c r="PD47" s="22"/>
      <c r="PE47" s="22"/>
      <c r="PF47" s="22"/>
      <c r="PG47" s="22"/>
      <c r="PH47" s="22"/>
      <c r="PI47" s="22"/>
      <c r="PJ47" s="22"/>
      <c r="PK47" s="22"/>
      <c r="PL47" s="22"/>
      <c r="PM47" s="22"/>
      <c r="PN47" s="22"/>
      <c r="PO47" s="22"/>
      <c r="PP47" s="22"/>
      <c r="PQ47" s="22"/>
      <c r="PR47" s="22"/>
      <c r="PS47" s="22"/>
      <c r="PT47" s="22"/>
      <c r="PU47" s="22"/>
      <c r="PV47" s="22"/>
      <c r="PW47" s="22"/>
      <c r="PX47" s="22"/>
      <c r="PY47" s="22"/>
      <c r="PZ47" s="22"/>
      <c r="QA47" s="22"/>
      <c r="QB47" s="22"/>
      <c r="QC47" s="22"/>
      <c r="QD47" s="22"/>
      <c r="QE47" s="22"/>
      <c r="QF47" s="22"/>
      <c r="QG47" s="22"/>
      <c r="QH47" s="22"/>
      <c r="QI47" s="22"/>
      <c r="QJ47" s="22"/>
      <c r="QK47" s="22"/>
      <c r="QL47" s="22"/>
      <c r="QM47" s="22"/>
      <c r="QN47" s="22"/>
      <c r="QO47" s="22"/>
      <c r="QP47" s="22"/>
      <c r="QQ47" s="22"/>
      <c r="QR47" s="22"/>
      <c r="QS47" s="22"/>
      <c r="QT47" s="22"/>
      <c r="QU47" s="22"/>
      <c r="QV47" s="22"/>
      <c r="QW47" s="22"/>
      <c r="QX47" s="22"/>
      <c r="QY47" s="22"/>
      <c r="QZ47" s="22"/>
      <c r="RA47" s="22"/>
      <c r="RB47" s="22"/>
      <c r="RC47" s="22"/>
      <c r="RD47" s="22"/>
      <c r="RE47" s="22"/>
      <c r="RF47" s="22"/>
      <c r="RG47" s="22"/>
      <c r="RH47" s="22"/>
      <c r="RI47" s="22"/>
      <c r="RJ47" s="22"/>
      <c r="RK47" s="22"/>
      <c r="RL47" s="22"/>
      <c r="RM47" s="22"/>
      <c r="RN47" s="22"/>
      <c r="RO47" s="22"/>
      <c r="RP47" s="22"/>
      <c r="RQ47" s="22"/>
      <c r="RR47" s="22"/>
      <c r="RS47" s="22"/>
      <c r="RT47" s="22"/>
      <c r="RU47" s="22"/>
      <c r="RV47" s="22"/>
      <c r="RW47" s="22"/>
      <c r="RX47" s="22"/>
      <c r="RY47" s="22"/>
      <c r="RZ47" s="22"/>
      <c r="SA47" s="22"/>
      <c r="SB47" s="22"/>
      <c r="SC47" s="22"/>
      <c r="SD47" s="22"/>
      <c r="SE47" s="22"/>
      <c r="SF47" s="22"/>
      <c r="SG47" s="22"/>
      <c r="SH47" s="22"/>
      <c r="SI47" s="22"/>
      <c r="SJ47" s="22"/>
      <c r="SK47" s="22"/>
      <c r="SL47" s="22"/>
      <c r="SM47" s="22"/>
      <c r="SN47" s="22"/>
      <c r="SO47" s="22"/>
      <c r="SP47" s="22"/>
      <c r="SQ47" s="22"/>
      <c r="SR47" s="22"/>
      <c r="SS47" s="22"/>
      <c r="ST47" s="22"/>
      <c r="SU47" s="22"/>
      <c r="SV47" s="22"/>
      <c r="SW47" s="22"/>
      <c r="SX47" s="22"/>
      <c r="SY47" s="22"/>
      <c r="SZ47" s="22"/>
      <c r="TA47" s="22"/>
      <c r="TB47" s="22"/>
      <c r="TC47" s="22"/>
      <c r="TD47" s="22"/>
      <c r="TE47" s="22"/>
      <c r="TF47" s="22"/>
      <c r="TG47" s="22"/>
      <c r="TH47" s="22"/>
      <c r="TI47" s="22"/>
      <c r="TJ47" s="22"/>
      <c r="TK47" s="22"/>
      <c r="TL47" s="22"/>
      <c r="TM47" s="22"/>
      <c r="TN47" s="22"/>
      <c r="TO47" s="22"/>
      <c r="TP47" s="22"/>
      <c r="TQ47" s="22"/>
      <c r="TR47" s="22"/>
      <c r="TS47" s="22"/>
      <c r="TT47" s="22"/>
      <c r="TU47" s="22"/>
      <c r="TV47" s="22"/>
      <c r="TW47" s="22"/>
      <c r="TX47" s="22"/>
      <c r="TY47" s="22"/>
      <c r="TZ47" s="22"/>
      <c r="UA47" s="22"/>
      <c r="UB47" s="22"/>
      <c r="UC47" s="22"/>
      <c r="UD47" s="22"/>
      <c r="UE47" s="22"/>
      <c r="UF47" s="22"/>
      <c r="UG47" s="22"/>
      <c r="UH47" s="22"/>
      <c r="UI47" s="22"/>
      <c r="UJ47" s="22"/>
      <c r="UK47" s="22"/>
      <c r="UL47" s="22"/>
      <c r="UM47" s="22"/>
      <c r="UN47" s="22"/>
      <c r="UO47" s="22"/>
      <c r="UP47" s="22"/>
      <c r="UQ47" s="22"/>
      <c r="UR47" s="22"/>
      <c r="US47" s="22"/>
      <c r="UT47" s="22"/>
      <c r="UU47" s="22"/>
      <c r="UV47" s="22"/>
      <c r="UW47" s="22"/>
      <c r="UX47" s="22"/>
      <c r="UY47" s="22"/>
      <c r="UZ47" s="22"/>
      <c r="VA47" s="22"/>
      <c r="VB47" s="22"/>
      <c r="VC47" s="22"/>
      <c r="VD47" s="22"/>
      <c r="VE47" s="22"/>
      <c r="VF47" s="22"/>
      <c r="VG47" s="22"/>
      <c r="VH47" s="22"/>
      <c r="VI47" s="22"/>
      <c r="VJ47" s="22"/>
      <c r="VK47" s="22"/>
      <c r="VL47" s="22"/>
      <c r="VM47" s="22"/>
      <c r="VN47" s="22"/>
      <c r="VO47" s="22"/>
      <c r="VP47" s="22"/>
      <c r="VQ47" s="22"/>
      <c r="VR47" s="22"/>
      <c r="VS47" s="22"/>
      <c r="VT47" s="22"/>
      <c r="VU47" s="22"/>
      <c r="VV47" s="22"/>
      <c r="VW47" s="22"/>
      <c r="VX47" s="22"/>
      <c r="VY47" s="22"/>
      <c r="VZ47" s="22"/>
      <c r="WA47" s="22"/>
      <c r="WB47" s="22"/>
      <c r="WC47" s="22"/>
      <c r="WD47" s="22"/>
      <c r="WE47" s="22"/>
      <c r="WF47" s="22"/>
      <c r="WG47" s="22"/>
      <c r="WH47" s="22"/>
      <c r="WI47" s="22"/>
      <c r="WJ47" s="22"/>
      <c r="WK47" s="22"/>
      <c r="WL47" s="22"/>
      <c r="WM47" s="22"/>
      <c r="WN47" s="22"/>
      <c r="WO47" s="22"/>
      <c r="WP47" s="22"/>
      <c r="WQ47" s="22"/>
      <c r="WR47" s="22"/>
      <c r="WS47" s="22"/>
      <c r="WT47" s="22"/>
      <c r="WU47" s="22"/>
      <c r="WV47" s="22"/>
      <c r="WW47" s="22"/>
      <c r="WX47" s="22"/>
      <c r="WY47" s="22"/>
      <c r="WZ47" s="22"/>
      <c r="XA47" s="22"/>
      <c r="XB47" s="22"/>
      <c r="XC47" s="22"/>
      <c r="XD47" s="22"/>
      <c r="XE47" s="22"/>
      <c r="XF47" s="22"/>
      <c r="XG47" s="22"/>
      <c r="XH47" s="22"/>
      <c r="XI47" s="22"/>
      <c r="XJ47" s="22"/>
      <c r="XK47" s="22"/>
      <c r="XL47" s="22"/>
      <c r="XM47" s="22"/>
      <c r="XN47" s="22"/>
      <c r="XO47" s="22"/>
      <c r="XP47" s="22"/>
      <c r="XQ47" s="22"/>
      <c r="XR47" s="22"/>
      <c r="XS47" s="22"/>
      <c r="XT47" s="22"/>
      <c r="XU47" s="22"/>
      <c r="XV47" s="22"/>
      <c r="XW47" s="22"/>
      <c r="XX47" s="22"/>
      <c r="XY47" s="22"/>
      <c r="XZ47" s="22"/>
      <c r="YA47" s="22"/>
      <c r="YB47" s="22"/>
      <c r="YC47" s="22"/>
      <c r="YD47" s="22"/>
      <c r="YE47" s="22"/>
      <c r="YF47" s="22"/>
      <c r="YG47" s="22"/>
      <c r="YH47" s="22"/>
      <c r="YI47" s="22"/>
      <c r="YJ47" s="22"/>
      <c r="YK47" s="22"/>
      <c r="YL47" s="22"/>
      <c r="YM47" s="22"/>
      <c r="YN47" s="22"/>
      <c r="YO47" s="22"/>
      <c r="YP47" s="22"/>
      <c r="YQ47" s="22"/>
      <c r="YR47" s="22"/>
      <c r="YS47" s="22"/>
      <c r="YT47" s="22"/>
      <c r="YU47" s="22"/>
      <c r="YV47" s="22"/>
      <c r="YW47" s="22"/>
      <c r="YX47" s="22"/>
      <c r="YY47" s="22"/>
      <c r="YZ47" s="22"/>
      <c r="ZA47" s="22"/>
      <c r="ZB47" s="22"/>
      <c r="ZC47" s="22"/>
      <c r="ZD47" s="22"/>
      <c r="ZE47" s="22"/>
      <c r="ZF47" s="22"/>
      <c r="ZG47" s="22"/>
      <c r="ZH47" s="22"/>
      <c r="ZI47" s="22"/>
      <c r="ZJ47" s="22"/>
      <c r="ZK47" s="22"/>
      <c r="ZL47" s="22"/>
      <c r="ZM47" s="22"/>
      <c r="ZN47" s="22"/>
      <c r="ZO47" s="22"/>
      <c r="ZP47" s="22"/>
      <c r="ZQ47" s="22"/>
      <c r="ZR47" s="22"/>
      <c r="ZS47" s="22"/>
      <c r="ZT47" s="22"/>
      <c r="ZU47" s="22"/>
      <c r="ZV47" s="22"/>
      <c r="ZW47" s="22"/>
      <c r="ZX47" s="22"/>
      <c r="ZY47" s="22"/>
      <c r="ZZ47" s="22"/>
      <c r="AAA47" s="22"/>
      <c r="AAB47" s="22"/>
      <c r="AAC47" s="22"/>
      <c r="AAD47" s="22"/>
      <c r="AAE47" s="22"/>
      <c r="AAF47" s="22"/>
      <c r="AAG47" s="22"/>
      <c r="AAH47" s="22"/>
      <c r="AAI47" s="22"/>
      <c r="AAJ47" s="22"/>
      <c r="AAK47" s="22"/>
      <c r="AAL47" s="22"/>
      <c r="AAM47" s="22"/>
      <c r="AAN47" s="22"/>
      <c r="AAO47" s="22"/>
      <c r="AAP47" s="22"/>
      <c r="AAQ47" s="22"/>
      <c r="AAR47" s="22"/>
      <c r="AAS47" s="22"/>
      <c r="AAT47" s="22"/>
      <c r="AAU47" s="22"/>
      <c r="AAV47" s="22"/>
      <c r="AAW47" s="22"/>
      <c r="AAX47" s="22"/>
      <c r="AAY47" s="22"/>
      <c r="AAZ47" s="22"/>
      <c r="ABA47" s="22"/>
      <c r="ABB47" s="22"/>
      <c r="ABC47" s="22"/>
    </row>
    <row r="48" spans="1:731" ht="15" customHeight="1" x14ac:dyDescent="0.3">
      <c r="A48" s="414"/>
      <c r="B48" s="423"/>
      <c r="C48" s="8"/>
      <c r="D48" s="27" t="s">
        <v>11</v>
      </c>
      <c r="E48" s="73" t="s">
        <v>63</v>
      </c>
      <c r="F48" s="15">
        <f t="shared" si="70"/>
        <v>0.16614679093661505</v>
      </c>
      <c r="G48" s="16">
        <f t="shared" si="70"/>
        <v>0</v>
      </c>
      <c r="H48" s="52">
        <f t="shared" si="64"/>
        <v>0.16614679093661505</v>
      </c>
      <c r="I48" s="14" t="str">
        <f t="shared" si="1"/>
        <v/>
      </c>
      <c r="J48" s="15">
        <f>'[88]Summary - Apr 25'!$G$7/1000</f>
        <v>49.6</v>
      </c>
      <c r="K48" s="74">
        <f>'[88]Summary - Apr 25'!$H$7/1000</f>
        <v>0</v>
      </c>
      <c r="L48" s="52">
        <f t="shared" si="65"/>
        <v>49.6</v>
      </c>
      <c r="M48" s="14" t="str">
        <f t="shared" si="21"/>
        <v/>
      </c>
      <c r="N48" s="15">
        <f>'[88]Summary - Apr 25'!$K$7/1000</f>
        <v>49.6</v>
      </c>
      <c r="O48" s="74">
        <f>'[88]Summary - Apr 25'!$L$7/1000</f>
        <v>0</v>
      </c>
      <c r="P48" s="52">
        <f t="shared" si="66"/>
        <v>49.6</v>
      </c>
      <c r="Q48" s="14" t="str">
        <f t="shared" si="2"/>
        <v/>
      </c>
      <c r="R48" s="57"/>
      <c r="S48" s="16"/>
      <c r="T48" s="52">
        <f t="shared" si="67"/>
        <v>0</v>
      </c>
      <c r="U48" s="14" t="str">
        <f t="shared" si="30"/>
        <v/>
      </c>
      <c r="V48" s="57">
        <f>'[88]Summary - Apr 25'!$O$7/1000</f>
        <v>163.72351</v>
      </c>
      <c r="W48" s="16">
        <f>'[88]Summary - Apr 25'!$P$7/1000</f>
        <v>0</v>
      </c>
      <c r="X48" s="52">
        <f t="shared" si="68"/>
        <v>163.72351</v>
      </c>
      <c r="Y48" s="14" t="str">
        <f t="shared" si="4"/>
        <v/>
      </c>
      <c r="Z48" s="15">
        <f>'[88]Summary - Apr 25'!$S$7/1000</f>
        <v>-114.12351000000001</v>
      </c>
      <c r="AA48" s="74">
        <f>'[88]Summary - Apr 25'!$T$7/1000</f>
        <v>0</v>
      </c>
      <c r="AB48" s="52">
        <f t="shared" si="69"/>
        <v>-114.12351000000001</v>
      </c>
      <c r="AC48" s="19" t="str">
        <f t="shared" si="5"/>
        <v/>
      </c>
      <c r="AD48" s="137"/>
      <c r="AE48" s="138"/>
      <c r="AF48" s="108">
        <f t="shared" si="6"/>
        <v>0</v>
      </c>
      <c r="AG48" s="110" t="str">
        <f t="shared" si="7"/>
        <v/>
      </c>
      <c r="AH48" s="142"/>
      <c r="AI48" s="127"/>
      <c r="AJ48" s="108">
        <f t="shared" si="8"/>
        <v>0</v>
      </c>
      <c r="AK48" s="20" t="str">
        <f t="shared" ref="AK48:AK55" si="71">IFERROR(IF(AI48&lt;0,-(AH48-AI48)/AI48,(AH48-AI48)/AI48),"")</f>
        <v/>
      </c>
      <c r="AL48" s="215">
        <f>'[88]Summary - Apr 25'!$S$7/1000</f>
        <v>-114.12351000000001</v>
      </c>
      <c r="AM48" s="179">
        <f>'[88]Summary - Apr 25'!$T$7/1000</f>
        <v>0</v>
      </c>
      <c r="AN48" s="13">
        <f t="shared" si="9"/>
        <v>-114.12351000000001</v>
      </c>
      <c r="AO48" s="19" t="str">
        <f t="shared" si="10"/>
        <v/>
      </c>
      <c r="AP48" s="51" t="s">
        <v>132</v>
      </c>
      <c r="AQ48" s="22"/>
      <c r="AR48" s="1">
        <f t="shared" si="11"/>
        <v>0</v>
      </c>
      <c r="AS48" s="1">
        <f t="shared" si="12"/>
        <v>0</v>
      </c>
      <c r="AT48" s="1">
        <f t="shared" si="13"/>
        <v>0</v>
      </c>
      <c r="AU48" s="1">
        <f t="shared" si="14"/>
        <v>0</v>
      </c>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22"/>
      <c r="IZ48" s="22"/>
      <c r="JA48" s="22"/>
      <c r="JB48" s="22"/>
      <c r="JC48" s="22"/>
      <c r="JD48" s="22"/>
      <c r="JE48" s="22"/>
      <c r="JJ48" s="22"/>
      <c r="JK48" s="22"/>
      <c r="JL48" s="22"/>
      <c r="JM48" s="22"/>
      <c r="JN48" s="22"/>
      <c r="JO48" s="22"/>
      <c r="JP48" s="22"/>
      <c r="JQ48" s="22"/>
      <c r="JR48" s="22"/>
      <c r="JS48" s="22"/>
      <c r="JT48" s="22"/>
      <c r="JU48" s="22"/>
      <c r="JV48" s="22"/>
      <c r="JW48" s="22"/>
      <c r="JX48" s="22"/>
      <c r="JY48" s="22"/>
      <c r="JZ48" s="22"/>
      <c r="KA48" s="22"/>
      <c r="KB48" s="22"/>
      <c r="KC48" s="22"/>
      <c r="KD48" s="22"/>
      <c r="KE48" s="2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22"/>
      <c r="LL48" s="22"/>
      <c r="LM48" s="22"/>
      <c r="LN48" s="22"/>
      <c r="LO48" s="22"/>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22"/>
      <c r="MR48" s="22"/>
      <c r="MS48" s="22"/>
      <c r="MT48" s="22"/>
      <c r="MU48" s="22"/>
      <c r="MV48" s="22"/>
      <c r="MW48" s="22"/>
      <c r="MX48" s="22"/>
      <c r="MY48" s="22"/>
      <c r="MZ48" s="22"/>
      <c r="NA48" s="22"/>
      <c r="NB48" s="22"/>
      <c r="NC48" s="22"/>
      <c r="ND48" s="22"/>
      <c r="NE48" s="22"/>
      <c r="NF48" s="22"/>
      <c r="NG48" s="22"/>
      <c r="NH48" s="22"/>
      <c r="NI48" s="22"/>
      <c r="NJ48" s="22"/>
      <c r="NK48" s="22"/>
      <c r="NL48" s="22"/>
      <c r="NM48" s="22"/>
      <c r="NN48" s="22"/>
      <c r="NO48" s="22"/>
      <c r="NP48" s="22"/>
      <c r="NQ48" s="22"/>
      <c r="NR48" s="22"/>
      <c r="NS48" s="22"/>
      <c r="NT48" s="22"/>
      <c r="NU48" s="22"/>
      <c r="NV48" s="22"/>
      <c r="NW48" s="22"/>
      <c r="NX48" s="22"/>
      <c r="NY48" s="22"/>
      <c r="NZ48" s="22"/>
      <c r="OA48" s="22"/>
      <c r="OB48" s="22"/>
      <c r="OC48" s="22"/>
      <c r="OD48" s="22"/>
      <c r="OE48" s="22"/>
      <c r="OF48" s="22"/>
      <c r="OG48" s="22"/>
      <c r="OH48" s="22"/>
      <c r="OI48" s="22"/>
      <c r="OJ48" s="22"/>
      <c r="OK48" s="22"/>
      <c r="OL48" s="22"/>
      <c r="OM48" s="22"/>
      <c r="ON48" s="22"/>
      <c r="OO48" s="22"/>
      <c r="OP48" s="22"/>
      <c r="OQ48" s="22"/>
      <c r="OR48" s="22"/>
      <c r="OS48" s="22"/>
      <c r="OT48" s="22"/>
      <c r="OU48" s="22"/>
      <c r="OV48" s="22"/>
      <c r="OW48" s="22"/>
      <c r="OX48" s="22"/>
      <c r="OY48" s="22"/>
      <c r="OZ48" s="22"/>
      <c r="PA48" s="22"/>
      <c r="PB48" s="22"/>
      <c r="PC48" s="22"/>
      <c r="PD48" s="22"/>
      <c r="PE48" s="22"/>
      <c r="PF48" s="22"/>
      <c r="PG48" s="22"/>
      <c r="PH48" s="22"/>
      <c r="PI48" s="22"/>
      <c r="PJ48" s="22"/>
      <c r="PK48" s="22"/>
      <c r="PL48" s="22"/>
      <c r="PM48" s="22"/>
      <c r="PN48" s="22"/>
      <c r="PO48" s="22"/>
      <c r="PP48" s="22"/>
      <c r="PQ48" s="22"/>
      <c r="PR48" s="22"/>
      <c r="PS48" s="22"/>
      <c r="PT48" s="22"/>
      <c r="PU48" s="22"/>
      <c r="PV48" s="22"/>
      <c r="PW48" s="22"/>
      <c r="PX48" s="22"/>
      <c r="PY48" s="22"/>
      <c r="PZ48" s="22"/>
      <c r="QA48" s="22"/>
      <c r="QB48" s="22"/>
      <c r="QC48" s="22"/>
      <c r="QD48" s="22"/>
      <c r="QE48" s="22"/>
      <c r="QF48" s="22"/>
      <c r="QG48" s="22"/>
      <c r="QH48" s="22"/>
      <c r="QI48" s="22"/>
      <c r="QJ48" s="22"/>
      <c r="QK48" s="22"/>
      <c r="QL48" s="22"/>
      <c r="QM48" s="22"/>
      <c r="QN48" s="22"/>
      <c r="QO48" s="22"/>
      <c r="QP48" s="22"/>
      <c r="QQ48" s="22"/>
      <c r="QR48" s="22"/>
      <c r="QS48" s="22"/>
      <c r="QT48" s="22"/>
      <c r="QU48" s="22"/>
      <c r="QV48" s="22"/>
      <c r="QW48" s="22"/>
      <c r="QX48" s="22"/>
      <c r="QY48" s="22"/>
      <c r="QZ48" s="22"/>
      <c r="RA48" s="22"/>
      <c r="RB48" s="22"/>
      <c r="RC48" s="22"/>
      <c r="RD48" s="22"/>
      <c r="RE48" s="22"/>
      <c r="RF48" s="22"/>
      <c r="RG48" s="22"/>
      <c r="RH48" s="22"/>
      <c r="RI48" s="22"/>
      <c r="RJ48" s="22"/>
      <c r="RK48" s="22"/>
      <c r="RL48" s="22"/>
      <c r="RM48" s="22"/>
      <c r="RN48" s="22"/>
      <c r="RO48" s="22"/>
      <c r="RP48" s="22"/>
      <c r="RQ48" s="22"/>
      <c r="RR48" s="22"/>
      <c r="RS48" s="22"/>
      <c r="RT48" s="22"/>
      <c r="RU48" s="22"/>
      <c r="RV48" s="22"/>
      <c r="RW48" s="22"/>
      <c r="RX48" s="22"/>
      <c r="RY48" s="22"/>
      <c r="RZ48" s="22"/>
      <c r="SA48" s="22"/>
      <c r="SB48" s="22"/>
      <c r="SC48" s="22"/>
      <c r="SD48" s="22"/>
      <c r="SE48" s="22"/>
      <c r="SF48" s="22"/>
      <c r="SG48" s="22"/>
      <c r="SH48" s="22"/>
      <c r="SI48" s="22"/>
      <c r="SJ48" s="22"/>
      <c r="SK48" s="22"/>
      <c r="SL48" s="22"/>
      <c r="SM48" s="22"/>
      <c r="SN48" s="22"/>
      <c r="SO48" s="22"/>
      <c r="SP48" s="22"/>
      <c r="SQ48" s="22"/>
      <c r="SR48" s="22"/>
      <c r="SS48" s="22"/>
      <c r="ST48" s="22"/>
      <c r="SU48" s="22"/>
      <c r="SV48" s="22"/>
      <c r="SW48" s="22"/>
      <c r="SX48" s="22"/>
      <c r="SY48" s="22"/>
      <c r="SZ48" s="22"/>
      <c r="TA48" s="22"/>
      <c r="TB48" s="22"/>
      <c r="TC48" s="22"/>
      <c r="TD48" s="22"/>
      <c r="TE48" s="22"/>
      <c r="TF48" s="22"/>
      <c r="TG48" s="22"/>
      <c r="TH48" s="22"/>
      <c r="TI48" s="22"/>
      <c r="TJ48" s="22"/>
      <c r="TK48" s="22"/>
      <c r="TL48" s="22"/>
      <c r="TM48" s="22"/>
      <c r="TN48" s="22"/>
      <c r="TO48" s="22"/>
      <c r="TP48" s="22"/>
      <c r="TQ48" s="22"/>
      <c r="TR48" s="22"/>
      <c r="TS48" s="22"/>
      <c r="TT48" s="22"/>
      <c r="TU48" s="22"/>
      <c r="TV48" s="22"/>
      <c r="TW48" s="22"/>
      <c r="TX48" s="22"/>
      <c r="TY48" s="22"/>
      <c r="TZ48" s="22"/>
      <c r="UA48" s="22"/>
      <c r="UB48" s="22"/>
      <c r="UC48" s="22"/>
      <c r="UD48" s="22"/>
      <c r="UE48" s="22"/>
      <c r="UF48" s="22"/>
      <c r="UG48" s="22"/>
      <c r="UH48" s="22"/>
      <c r="UI48" s="22"/>
      <c r="UJ48" s="22"/>
      <c r="UK48" s="22"/>
      <c r="UL48" s="22"/>
      <c r="UM48" s="22"/>
      <c r="UN48" s="22"/>
      <c r="UO48" s="22"/>
      <c r="UP48" s="22"/>
      <c r="UQ48" s="22"/>
      <c r="UR48" s="22"/>
      <c r="US48" s="22"/>
      <c r="UT48" s="22"/>
      <c r="UU48" s="22"/>
      <c r="UV48" s="22"/>
      <c r="UW48" s="22"/>
      <c r="UX48" s="22"/>
      <c r="UY48" s="22"/>
      <c r="UZ48" s="22"/>
      <c r="VA48" s="22"/>
      <c r="VB48" s="22"/>
      <c r="VC48" s="22"/>
      <c r="VD48" s="22"/>
      <c r="VE48" s="22"/>
      <c r="VF48" s="22"/>
      <c r="VG48" s="22"/>
      <c r="VH48" s="22"/>
      <c r="VI48" s="22"/>
      <c r="VJ48" s="22"/>
      <c r="VK48" s="22"/>
      <c r="VL48" s="22"/>
      <c r="VM48" s="22"/>
      <c r="VN48" s="22"/>
      <c r="VO48" s="22"/>
      <c r="VP48" s="22"/>
      <c r="VQ48" s="22"/>
      <c r="VR48" s="22"/>
      <c r="VS48" s="22"/>
      <c r="VT48" s="22"/>
      <c r="VU48" s="22"/>
      <c r="VV48" s="22"/>
      <c r="VW48" s="22"/>
      <c r="VX48" s="22"/>
      <c r="VY48" s="22"/>
      <c r="VZ48" s="22"/>
      <c r="WA48" s="22"/>
      <c r="WB48" s="22"/>
      <c r="WC48" s="22"/>
      <c r="WD48" s="22"/>
      <c r="WE48" s="22"/>
      <c r="WF48" s="22"/>
      <c r="WG48" s="22"/>
      <c r="WH48" s="22"/>
      <c r="WI48" s="22"/>
      <c r="WJ48" s="22"/>
      <c r="WK48" s="22"/>
      <c r="WL48" s="22"/>
      <c r="WM48" s="22"/>
      <c r="WN48" s="22"/>
      <c r="WO48" s="22"/>
      <c r="WP48" s="22"/>
      <c r="WQ48" s="22"/>
      <c r="WR48" s="22"/>
      <c r="WS48" s="22"/>
      <c r="WT48" s="22"/>
      <c r="WU48" s="22"/>
      <c r="WV48" s="22"/>
      <c r="WW48" s="22"/>
      <c r="WX48" s="22"/>
      <c r="WY48" s="22"/>
      <c r="WZ48" s="22"/>
      <c r="XA48" s="22"/>
      <c r="XB48" s="22"/>
      <c r="XC48" s="22"/>
      <c r="XD48" s="22"/>
      <c r="XE48" s="22"/>
      <c r="XF48" s="22"/>
      <c r="XG48" s="22"/>
      <c r="XH48" s="22"/>
      <c r="XI48" s="22"/>
      <c r="XJ48" s="22"/>
      <c r="XK48" s="22"/>
      <c r="XL48" s="22"/>
      <c r="XM48" s="22"/>
      <c r="XN48" s="22"/>
      <c r="XO48" s="22"/>
      <c r="XP48" s="22"/>
      <c r="XQ48" s="22"/>
      <c r="XR48" s="22"/>
      <c r="XS48" s="22"/>
      <c r="XT48" s="22"/>
      <c r="XU48" s="22"/>
      <c r="XV48" s="22"/>
      <c r="XW48" s="22"/>
      <c r="XX48" s="22"/>
      <c r="XY48" s="22"/>
      <c r="XZ48" s="22"/>
      <c r="YA48" s="22"/>
      <c r="YB48" s="22"/>
      <c r="YC48" s="22"/>
      <c r="YD48" s="22"/>
      <c r="YE48" s="22"/>
      <c r="YF48" s="22"/>
      <c r="YG48" s="22"/>
      <c r="YH48" s="22"/>
      <c r="YI48" s="22"/>
      <c r="YJ48" s="22"/>
      <c r="YK48" s="22"/>
      <c r="YL48" s="22"/>
      <c r="YM48" s="22"/>
      <c r="YN48" s="22"/>
      <c r="YO48" s="22"/>
      <c r="YP48" s="22"/>
      <c r="YQ48" s="22"/>
      <c r="YR48" s="22"/>
      <c r="YS48" s="22"/>
      <c r="YT48" s="22"/>
      <c r="YU48" s="22"/>
      <c r="YV48" s="22"/>
      <c r="YW48" s="22"/>
      <c r="YX48" s="22"/>
      <c r="YY48" s="22"/>
      <c r="YZ48" s="22"/>
      <c r="ZA48" s="22"/>
      <c r="ZB48" s="22"/>
      <c r="ZC48" s="22"/>
      <c r="ZD48" s="22"/>
      <c r="ZE48" s="22"/>
      <c r="ZF48" s="22"/>
      <c r="ZG48" s="22"/>
      <c r="ZH48" s="22"/>
      <c r="ZI48" s="22"/>
      <c r="ZJ48" s="22"/>
      <c r="ZK48" s="22"/>
      <c r="ZL48" s="22"/>
      <c r="ZM48" s="22"/>
      <c r="ZN48" s="22"/>
      <c r="ZO48" s="22"/>
      <c r="ZP48" s="22"/>
      <c r="ZQ48" s="22"/>
      <c r="ZR48" s="22"/>
      <c r="ZS48" s="22"/>
      <c r="ZT48" s="22"/>
      <c r="ZU48" s="22"/>
      <c r="ZV48" s="22"/>
      <c r="ZW48" s="22"/>
      <c r="ZX48" s="22"/>
      <c r="ZY48" s="22"/>
      <c r="ZZ48" s="22"/>
      <c r="AAA48" s="22"/>
      <c r="AAB48" s="22"/>
      <c r="AAC48" s="22"/>
      <c r="AAD48" s="22"/>
      <c r="AAE48" s="22"/>
      <c r="AAF48" s="22"/>
      <c r="AAG48" s="22"/>
      <c r="AAH48" s="22"/>
      <c r="AAI48" s="22"/>
      <c r="AAJ48" s="22"/>
      <c r="AAK48" s="22"/>
      <c r="AAL48" s="22"/>
      <c r="AAM48" s="22"/>
      <c r="AAN48" s="22"/>
      <c r="AAO48" s="22"/>
      <c r="AAP48" s="22"/>
      <c r="AAQ48" s="22"/>
      <c r="AAR48" s="22"/>
      <c r="AAS48" s="22"/>
      <c r="AAT48" s="22"/>
      <c r="AAU48" s="22"/>
      <c r="AAV48" s="22"/>
      <c r="AAW48" s="22"/>
      <c r="AAX48" s="22"/>
      <c r="AAY48" s="22"/>
      <c r="AAZ48" s="22"/>
      <c r="ABA48" s="22"/>
      <c r="ABB48" s="22"/>
      <c r="ABC48" s="22"/>
    </row>
    <row r="49" spans="1:731" ht="15" customHeight="1" x14ac:dyDescent="0.3">
      <c r="A49" s="414"/>
      <c r="B49" s="423"/>
      <c r="C49" s="8"/>
      <c r="D49" s="27" t="s">
        <v>11</v>
      </c>
      <c r="E49" s="73" t="s">
        <v>64</v>
      </c>
      <c r="F49" s="15">
        <f t="shared" si="70"/>
        <v>0.88767942738312478</v>
      </c>
      <c r="G49" s="16">
        <f t="shared" si="70"/>
        <v>0</v>
      </c>
      <c r="H49" s="52">
        <f t="shared" si="64"/>
        <v>0.88767942738312478</v>
      </c>
      <c r="I49" s="14" t="str">
        <f t="shared" si="1"/>
        <v/>
      </c>
      <c r="J49" s="15">
        <f>'[88]Summary - Apr 25'!$G$8/1000</f>
        <v>265</v>
      </c>
      <c r="K49" s="74">
        <f>'[88]Summary - Apr 25'!$H$8/1000</f>
        <v>0</v>
      </c>
      <c r="L49" s="52">
        <f t="shared" si="65"/>
        <v>265</v>
      </c>
      <c r="M49" s="14" t="str">
        <f t="shared" si="21"/>
        <v/>
      </c>
      <c r="N49" s="15">
        <f>'[88]Summary - Apr 25'!$K$8/1000</f>
        <v>265</v>
      </c>
      <c r="O49" s="74">
        <f>'[88]Summary - Apr 25'!$L$8/1000</f>
        <v>0</v>
      </c>
      <c r="P49" s="52">
        <f t="shared" si="66"/>
        <v>265</v>
      </c>
      <c r="Q49" s="14" t="str">
        <f t="shared" si="2"/>
        <v/>
      </c>
      <c r="R49" s="57"/>
      <c r="S49" s="16"/>
      <c r="T49" s="52">
        <f t="shared" si="67"/>
        <v>0</v>
      </c>
      <c r="U49" s="14" t="str">
        <f t="shared" si="30"/>
        <v/>
      </c>
      <c r="V49" s="57">
        <f>'[88]Summary - Apr 25'!$O$8/1000</f>
        <v>75</v>
      </c>
      <c r="W49" s="16">
        <f>'[88]Summary - Apr 25'!$P$8/1000</f>
        <v>0</v>
      </c>
      <c r="X49" s="52">
        <f t="shared" si="68"/>
        <v>75</v>
      </c>
      <c r="Y49" s="14" t="str">
        <f t="shared" si="4"/>
        <v/>
      </c>
      <c r="Z49" s="83">
        <f>'[88]Summary - Apr 25'!$S$8/1000</f>
        <v>190</v>
      </c>
      <c r="AA49" s="84">
        <f>'[88]Summary - Apr 25'!$T$8/1000</f>
        <v>0</v>
      </c>
      <c r="AB49" s="52">
        <f t="shared" si="69"/>
        <v>190</v>
      </c>
      <c r="AC49" s="19" t="str">
        <f t="shared" si="5"/>
        <v/>
      </c>
      <c r="AD49" s="137"/>
      <c r="AE49" s="138"/>
      <c r="AF49" s="108">
        <f t="shared" si="6"/>
        <v>0</v>
      </c>
      <c r="AG49" s="110" t="str">
        <f t="shared" si="7"/>
        <v/>
      </c>
      <c r="AH49" s="142"/>
      <c r="AI49" s="127"/>
      <c r="AJ49" s="108">
        <f t="shared" si="8"/>
        <v>0</v>
      </c>
      <c r="AK49" s="20" t="str">
        <f t="shared" si="71"/>
        <v/>
      </c>
      <c r="AL49" s="144">
        <f>'[88]Summary - Apr 25'!$S$8/1000</f>
        <v>190</v>
      </c>
      <c r="AM49" s="134">
        <f>'[88]Summary - Apr 25'!$T$8/1000</f>
        <v>0</v>
      </c>
      <c r="AN49" s="13">
        <f t="shared" si="9"/>
        <v>190</v>
      </c>
      <c r="AO49" s="19" t="str">
        <f t="shared" si="10"/>
        <v/>
      </c>
      <c r="AP49" s="51" t="s">
        <v>133</v>
      </c>
      <c r="AQ49" s="22"/>
      <c r="AR49" s="1">
        <f t="shared" si="11"/>
        <v>0</v>
      </c>
      <c r="AS49" s="1">
        <f t="shared" si="12"/>
        <v>0</v>
      </c>
      <c r="AT49" s="1">
        <f t="shared" si="13"/>
        <v>0</v>
      </c>
      <c r="AU49" s="1">
        <f t="shared" si="14"/>
        <v>0</v>
      </c>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c r="FJ49" s="22"/>
      <c r="FK49" s="22"/>
      <c r="FL49" s="22"/>
      <c r="FM49" s="22"/>
      <c r="FN49" s="22"/>
      <c r="FO49" s="22"/>
      <c r="FP49" s="22"/>
      <c r="FQ49" s="22"/>
      <c r="FR49" s="22"/>
      <c r="FS49" s="22"/>
      <c r="FT49" s="22"/>
      <c r="FU49" s="22"/>
      <c r="FV49" s="22"/>
      <c r="FW49" s="22"/>
      <c r="FX49" s="22"/>
      <c r="FY49" s="22"/>
      <c r="FZ49" s="22"/>
      <c r="GA49" s="22"/>
      <c r="GB49" s="22"/>
      <c r="GC49" s="22"/>
      <c r="GD49" s="22"/>
      <c r="GE49" s="22"/>
      <c r="GF49" s="22"/>
      <c r="GG49" s="22"/>
      <c r="GH49" s="22"/>
      <c r="GI49" s="22"/>
      <c r="GJ49" s="22"/>
      <c r="GK49" s="22"/>
      <c r="GL49" s="22"/>
      <c r="GM49" s="22"/>
      <c r="GN49" s="22"/>
      <c r="GO49" s="22"/>
      <c r="GP49" s="22"/>
      <c r="GQ49" s="22"/>
      <c r="GR49" s="22"/>
      <c r="GS49" s="22"/>
      <c r="GT49" s="22"/>
      <c r="GU49" s="22"/>
      <c r="GV49" s="22"/>
      <c r="GW49" s="22"/>
      <c r="GX49" s="22"/>
      <c r="GY49" s="22"/>
      <c r="GZ49" s="22"/>
      <c r="HA49" s="22"/>
      <c r="HB49" s="22"/>
      <c r="HC49" s="22"/>
      <c r="HD49" s="22"/>
      <c r="HE49" s="22"/>
      <c r="HF49" s="22"/>
      <c r="HG49" s="22"/>
      <c r="HH49" s="22"/>
      <c r="HI49" s="22"/>
      <c r="HJ49" s="22"/>
      <c r="HK49" s="22"/>
      <c r="HL49" s="22"/>
      <c r="HM49" s="22"/>
      <c r="HN49" s="22"/>
      <c r="HO49" s="22"/>
      <c r="HP49" s="22"/>
      <c r="HQ49" s="22"/>
      <c r="HR49" s="22"/>
      <c r="HS49" s="22"/>
      <c r="HT49" s="22"/>
      <c r="HU49" s="22"/>
      <c r="HV49" s="22"/>
      <c r="HW49" s="22"/>
      <c r="HX49" s="22"/>
      <c r="HY49" s="22"/>
      <c r="HZ49" s="22"/>
      <c r="IA49" s="22"/>
      <c r="IB49" s="22"/>
      <c r="IC49" s="22"/>
      <c r="ID49" s="22"/>
      <c r="IE49" s="22"/>
      <c r="IF49" s="22"/>
      <c r="IG49" s="22"/>
      <c r="IH49" s="22"/>
      <c r="II49" s="22"/>
      <c r="IJ49" s="22"/>
      <c r="IK49" s="22"/>
      <c r="IL49" s="22"/>
      <c r="IM49" s="22"/>
      <c r="IN49" s="22"/>
      <c r="IO49" s="22"/>
      <c r="IP49" s="22"/>
      <c r="IQ49" s="22"/>
      <c r="IR49" s="22"/>
      <c r="IS49" s="22"/>
      <c r="IT49" s="22"/>
      <c r="IU49" s="22"/>
      <c r="IV49" s="22"/>
      <c r="IW49" s="22"/>
      <c r="IX49" s="22"/>
      <c r="IY49" s="22"/>
      <c r="IZ49" s="22"/>
      <c r="JA49" s="22"/>
      <c r="JB49" s="22"/>
      <c r="JC49" s="22"/>
      <c r="JD49" s="22"/>
      <c r="JE49" s="22"/>
      <c r="JJ49" s="22"/>
      <c r="JK49" s="22"/>
      <c r="JL49" s="22"/>
      <c r="JM49" s="22"/>
      <c r="JN49" s="22"/>
      <c r="JO49" s="22"/>
      <c r="JP49" s="22"/>
      <c r="JQ49" s="22"/>
      <c r="JR49" s="22"/>
      <c r="JS49" s="22"/>
      <c r="JT49" s="22"/>
      <c r="JU49" s="22"/>
      <c r="JV49" s="22"/>
      <c r="JW49" s="22"/>
      <c r="JX49" s="22"/>
      <c r="JY49" s="22"/>
      <c r="JZ49" s="22"/>
      <c r="KA49" s="22"/>
      <c r="KB49" s="22"/>
      <c r="KC49" s="22"/>
      <c r="KD49" s="22"/>
      <c r="KE49" s="22"/>
      <c r="KF49" s="22"/>
      <c r="KG49" s="22"/>
      <c r="KH49" s="22"/>
      <c r="KI49" s="22"/>
      <c r="KJ49" s="22"/>
      <c r="KK49" s="22"/>
      <c r="KL49" s="22"/>
      <c r="KM49" s="22"/>
      <c r="KN49" s="22"/>
      <c r="KO49" s="22"/>
      <c r="KP49" s="22"/>
      <c r="KQ49" s="22"/>
      <c r="KR49" s="22"/>
      <c r="KS49" s="22"/>
      <c r="KT49" s="22"/>
      <c r="KU49" s="22"/>
      <c r="KV49" s="22"/>
      <c r="KW49" s="22"/>
      <c r="KX49" s="22"/>
      <c r="KY49" s="22"/>
      <c r="KZ49" s="22"/>
      <c r="LA49" s="22"/>
      <c r="LB49" s="22"/>
      <c r="LC49" s="22"/>
      <c r="LD49" s="22"/>
      <c r="LE49" s="22"/>
      <c r="LF49" s="22"/>
      <c r="LG49" s="22"/>
      <c r="LH49" s="22"/>
      <c r="LI49" s="22"/>
      <c r="LJ49" s="22"/>
      <c r="LK49" s="22"/>
      <c r="LL49" s="22"/>
      <c r="LM49" s="22"/>
      <c r="LN49" s="22"/>
      <c r="LO49" s="22"/>
      <c r="LP49" s="22"/>
      <c r="LQ49" s="22"/>
      <c r="LR49" s="22"/>
      <c r="LS49" s="22"/>
      <c r="LT49" s="22"/>
      <c r="LU49" s="22"/>
      <c r="LV49" s="22"/>
      <c r="LW49" s="22"/>
      <c r="LX49" s="22"/>
      <c r="LY49" s="22"/>
      <c r="LZ49" s="22"/>
      <c r="MA49" s="22"/>
      <c r="MB49" s="22"/>
      <c r="MC49" s="22"/>
      <c r="MD49" s="22"/>
      <c r="ME49" s="22"/>
      <c r="MF49" s="22"/>
      <c r="MG49" s="22"/>
      <c r="MH49" s="22"/>
      <c r="MI49" s="22"/>
      <c r="MJ49" s="22"/>
      <c r="MK49" s="22"/>
      <c r="ML49" s="22"/>
      <c r="MM49" s="22"/>
      <c r="MN49" s="22"/>
      <c r="MO49" s="22"/>
      <c r="MP49" s="22"/>
      <c r="MQ49" s="22"/>
      <c r="MR49" s="22"/>
      <c r="MS49" s="22"/>
      <c r="MT49" s="22"/>
      <c r="MU49" s="22"/>
      <c r="MV49" s="22"/>
      <c r="MW49" s="22"/>
      <c r="MX49" s="22"/>
      <c r="MY49" s="22"/>
      <c r="MZ49" s="22"/>
      <c r="NA49" s="22"/>
      <c r="NB49" s="22"/>
      <c r="NC49" s="22"/>
      <c r="ND49" s="22"/>
      <c r="NE49" s="22"/>
      <c r="NF49" s="22"/>
      <c r="NG49" s="22"/>
      <c r="NH49" s="22"/>
      <c r="NI49" s="22"/>
      <c r="NJ49" s="22"/>
      <c r="NK49" s="22"/>
      <c r="NL49" s="22"/>
      <c r="NM49" s="22"/>
      <c r="NN49" s="22"/>
      <c r="NO49" s="22"/>
      <c r="NP49" s="22"/>
      <c r="NQ49" s="22"/>
      <c r="NR49" s="22"/>
      <c r="NS49" s="22"/>
      <c r="NT49" s="22"/>
      <c r="NU49" s="22"/>
      <c r="NV49" s="22"/>
      <c r="NW49" s="22"/>
      <c r="NX49" s="22"/>
      <c r="NY49" s="22"/>
      <c r="NZ49" s="22"/>
      <c r="OA49" s="22"/>
      <c r="OB49" s="22"/>
      <c r="OC49" s="22"/>
      <c r="OD49" s="22"/>
      <c r="OE49" s="22"/>
      <c r="OF49" s="22"/>
      <c r="OG49" s="22"/>
      <c r="OH49" s="22"/>
      <c r="OI49" s="22"/>
      <c r="OJ49" s="22"/>
      <c r="OK49" s="22"/>
      <c r="OL49" s="22"/>
      <c r="OM49" s="22"/>
      <c r="ON49" s="22"/>
      <c r="OO49" s="22"/>
      <c r="OP49" s="22"/>
      <c r="OQ49" s="22"/>
      <c r="OR49" s="22"/>
      <c r="OS49" s="22"/>
      <c r="OT49" s="22"/>
      <c r="OU49" s="22"/>
      <c r="OV49" s="22"/>
      <c r="OW49" s="22"/>
      <c r="OX49" s="22"/>
      <c r="OY49" s="22"/>
      <c r="OZ49" s="22"/>
      <c r="PA49" s="22"/>
      <c r="PB49" s="22"/>
      <c r="PC49" s="22"/>
      <c r="PD49" s="22"/>
      <c r="PE49" s="22"/>
      <c r="PF49" s="22"/>
      <c r="PG49" s="22"/>
      <c r="PH49" s="22"/>
      <c r="PI49" s="22"/>
      <c r="PJ49" s="22"/>
      <c r="PK49" s="22"/>
      <c r="PL49" s="22"/>
      <c r="PM49" s="22"/>
      <c r="PN49" s="22"/>
      <c r="PO49" s="22"/>
      <c r="PP49" s="22"/>
      <c r="PQ49" s="22"/>
      <c r="PR49" s="22"/>
      <c r="PS49" s="22"/>
      <c r="PT49" s="22"/>
      <c r="PU49" s="22"/>
      <c r="PV49" s="22"/>
      <c r="PW49" s="22"/>
      <c r="PX49" s="22"/>
      <c r="PY49" s="22"/>
      <c r="PZ49" s="22"/>
      <c r="QA49" s="22"/>
      <c r="QB49" s="22"/>
      <c r="QC49" s="22"/>
      <c r="QD49" s="22"/>
      <c r="QE49" s="22"/>
      <c r="QF49" s="22"/>
      <c r="QG49" s="22"/>
      <c r="QH49" s="22"/>
      <c r="QI49" s="22"/>
      <c r="QJ49" s="22"/>
      <c r="QK49" s="22"/>
      <c r="QL49" s="22"/>
      <c r="QM49" s="22"/>
      <c r="QN49" s="22"/>
      <c r="QO49" s="22"/>
      <c r="QP49" s="22"/>
      <c r="QQ49" s="22"/>
      <c r="QR49" s="22"/>
      <c r="QS49" s="22"/>
      <c r="QT49" s="22"/>
      <c r="QU49" s="22"/>
      <c r="QV49" s="22"/>
      <c r="QW49" s="22"/>
      <c r="QX49" s="22"/>
      <c r="QY49" s="22"/>
      <c r="QZ49" s="22"/>
      <c r="RA49" s="22"/>
      <c r="RB49" s="22"/>
      <c r="RC49" s="22"/>
      <c r="RD49" s="22"/>
      <c r="RE49" s="22"/>
      <c r="RF49" s="22"/>
      <c r="RG49" s="22"/>
      <c r="RH49" s="22"/>
      <c r="RI49" s="22"/>
      <c r="RJ49" s="22"/>
      <c r="RK49" s="22"/>
      <c r="RL49" s="22"/>
      <c r="RM49" s="22"/>
      <c r="RN49" s="22"/>
      <c r="RO49" s="22"/>
      <c r="RP49" s="22"/>
      <c r="RQ49" s="22"/>
      <c r="RR49" s="22"/>
      <c r="RS49" s="22"/>
      <c r="RT49" s="22"/>
      <c r="RU49" s="22"/>
      <c r="RV49" s="22"/>
      <c r="RW49" s="22"/>
      <c r="RX49" s="22"/>
      <c r="RY49" s="22"/>
      <c r="RZ49" s="22"/>
      <c r="SA49" s="22"/>
      <c r="SB49" s="22"/>
      <c r="SC49" s="22"/>
      <c r="SD49" s="22"/>
      <c r="SE49" s="22"/>
      <c r="SF49" s="22"/>
      <c r="SG49" s="22"/>
      <c r="SH49" s="22"/>
      <c r="SI49" s="22"/>
      <c r="SJ49" s="22"/>
      <c r="SK49" s="22"/>
      <c r="SL49" s="22"/>
      <c r="SM49" s="22"/>
      <c r="SN49" s="22"/>
      <c r="SO49" s="22"/>
      <c r="SP49" s="22"/>
      <c r="SQ49" s="22"/>
      <c r="SR49" s="22"/>
      <c r="SS49" s="22"/>
      <c r="ST49" s="22"/>
      <c r="SU49" s="22"/>
      <c r="SV49" s="22"/>
      <c r="SW49" s="22"/>
      <c r="SX49" s="22"/>
      <c r="SY49" s="22"/>
      <c r="SZ49" s="22"/>
      <c r="TA49" s="22"/>
      <c r="TB49" s="22"/>
      <c r="TC49" s="22"/>
      <c r="TD49" s="22"/>
      <c r="TE49" s="22"/>
      <c r="TF49" s="22"/>
      <c r="TG49" s="22"/>
      <c r="TH49" s="22"/>
      <c r="TI49" s="22"/>
      <c r="TJ49" s="22"/>
      <c r="TK49" s="22"/>
      <c r="TL49" s="22"/>
      <c r="TM49" s="22"/>
      <c r="TN49" s="22"/>
      <c r="TO49" s="22"/>
      <c r="TP49" s="22"/>
      <c r="TQ49" s="22"/>
      <c r="TR49" s="22"/>
      <c r="TS49" s="22"/>
      <c r="TT49" s="22"/>
      <c r="TU49" s="22"/>
      <c r="TV49" s="22"/>
      <c r="TW49" s="22"/>
      <c r="TX49" s="22"/>
      <c r="TY49" s="22"/>
      <c r="TZ49" s="22"/>
      <c r="UA49" s="22"/>
      <c r="UB49" s="22"/>
      <c r="UC49" s="22"/>
      <c r="UD49" s="22"/>
      <c r="UE49" s="22"/>
      <c r="UF49" s="22"/>
      <c r="UG49" s="22"/>
      <c r="UH49" s="22"/>
      <c r="UI49" s="22"/>
      <c r="UJ49" s="22"/>
      <c r="UK49" s="22"/>
      <c r="UL49" s="22"/>
      <c r="UM49" s="22"/>
      <c r="UN49" s="22"/>
      <c r="UO49" s="22"/>
      <c r="UP49" s="22"/>
      <c r="UQ49" s="22"/>
      <c r="UR49" s="22"/>
      <c r="US49" s="22"/>
      <c r="UT49" s="22"/>
      <c r="UU49" s="22"/>
      <c r="UV49" s="22"/>
      <c r="UW49" s="22"/>
      <c r="UX49" s="22"/>
      <c r="UY49" s="22"/>
      <c r="UZ49" s="22"/>
      <c r="VA49" s="22"/>
      <c r="VB49" s="22"/>
      <c r="VC49" s="22"/>
      <c r="VD49" s="22"/>
      <c r="VE49" s="22"/>
      <c r="VF49" s="22"/>
      <c r="VG49" s="22"/>
      <c r="VH49" s="22"/>
      <c r="VI49" s="22"/>
      <c r="VJ49" s="22"/>
      <c r="VK49" s="22"/>
      <c r="VL49" s="22"/>
      <c r="VM49" s="22"/>
      <c r="VN49" s="22"/>
      <c r="VO49" s="22"/>
      <c r="VP49" s="22"/>
      <c r="VQ49" s="22"/>
      <c r="VR49" s="22"/>
      <c r="VS49" s="22"/>
      <c r="VT49" s="22"/>
      <c r="VU49" s="22"/>
      <c r="VV49" s="22"/>
      <c r="VW49" s="22"/>
      <c r="VX49" s="22"/>
      <c r="VY49" s="22"/>
      <c r="VZ49" s="22"/>
      <c r="WA49" s="22"/>
      <c r="WB49" s="22"/>
      <c r="WC49" s="22"/>
      <c r="WD49" s="22"/>
      <c r="WE49" s="22"/>
      <c r="WF49" s="22"/>
      <c r="WG49" s="22"/>
      <c r="WH49" s="22"/>
      <c r="WI49" s="22"/>
      <c r="WJ49" s="22"/>
      <c r="WK49" s="22"/>
      <c r="WL49" s="22"/>
      <c r="WM49" s="22"/>
      <c r="WN49" s="22"/>
      <c r="WO49" s="22"/>
      <c r="WP49" s="22"/>
      <c r="WQ49" s="22"/>
      <c r="WR49" s="22"/>
      <c r="WS49" s="22"/>
      <c r="WT49" s="22"/>
      <c r="WU49" s="22"/>
      <c r="WV49" s="22"/>
      <c r="WW49" s="22"/>
      <c r="WX49" s="22"/>
      <c r="WY49" s="22"/>
      <c r="WZ49" s="22"/>
      <c r="XA49" s="22"/>
      <c r="XB49" s="22"/>
      <c r="XC49" s="22"/>
      <c r="XD49" s="22"/>
      <c r="XE49" s="22"/>
      <c r="XF49" s="22"/>
      <c r="XG49" s="22"/>
      <c r="XH49" s="22"/>
      <c r="XI49" s="22"/>
      <c r="XJ49" s="22"/>
      <c r="XK49" s="22"/>
      <c r="XL49" s="22"/>
      <c r="XM49" s="22"/>
      <c r="XN49" s="22"/>
      <c r="XO49" s="22"/>
      <c r="XP49" s="22"/>
      <c r="XQ49" s="22"/>
      <c r="XR49" s="22"/>
      <c r="XS49" s="22"/>
      <c r="XT49" s="22"/>
      <c r="XU49" s="22"/>
      <c r="XV49" s="22"/>
      <c r="XW49" s="22"/>
      <c r="XX49" s="22"/>
      <c r="XY49" s="22"/>
      <c r="XZ49" s="22"/>
      <c r="YA49" s="22"/>
      <c r="YB49" s="22"/>
      <c r="YC49" s="22"/>
      <c r="YD49" s="22"/>
      <c r="YE49" s="22"/>
      <c r="YF49" s="22"/>
      <c r="YG49" s="22"/>
      <c r="YH49" s="22"/>
      <c r="YI49" s="22"/>
      <c r="YJ49" s="22"/>
      <c r="YK49" s="22"/>
      <c r="YL49" s="22"/>
      <c r="YM49" s="22"/>
      <c r="YN49" s="22"/>
      <c r="YO49" s="22"/>
      <c r="YP49" s="22"/>
      <c r="YQ49" s="22"/>
      <c r="YR49" s="22"/>
      <c r="YS49" s="22"/>
      <c r="YT49" s="22"/>
      <c r="YU49" s="22"/>
      <c r="YV49" s="22"/>
      <c r="YW49" s="22"/>
      <c r="YX49" s="22"/>
      <c r="YY49" s="22"/>
      <c r="YZ49" s="22"/>
      <c r="ZA49" s="22"/>
      <c r="ZB49" s="22"/>
      <c r="ZC49" s="22"/>
      <c r="ZD49" s="22"/>
      <c r="ZE49" s="22"/>
      <c r="ZF49" s="22"/>
      <c r="ZG49" s="22"/>
      <c r="ZH49" s="22"/>
      <c r="ZI49" s="22"/>
      <c r="ZJ49" s="22"/>
      <c r="ZK49" s="22"/>
      <c r="ZL49" s="22"/>
      <c r="ZM49" s="22"/>
      <c r="ZN49" s="22"/>
      <c r="ZO49" s="22"/>
      <c r="ZP49" s="22"/>
      <c r="ZQ49" s="22"/>
      <c r="ZR49" s="22"/>
      <c r="ZS49" s="22"/>
      <c r="ZT49" s="22"/>
      <c r="ZU49" s="22"/>
      <c r="ZV49" s="22"/>
      <c r="ZW49" s="22"/>
      <c r="ZX49" s="22"/>
      <c r="ZY49" s="22"/>
      <c r="ZZ49" s="22"/>
      <c r="AAA49" s="22"/>
      <c r="AAB49" s="22"/>
      <c r="AAC49" s="22"/>
      <c r="AAD49" s="22"/>
      <c r="AAE49" s="22"/>
      <c r="AAF49" s="22"/>
      <c r="AAG49" s="22"/>
      <c r="AAH49" s="22"/>
      <c r="AAI49" s="22"/>
      <c r="AAJ49" s="22"/>
      <c r="AAK49" s="22"/>
      <c r="AAL49" s="22"/>
      <c r="AAM49" s="22"/>
      <c r="AAN49" s="22"/>
      <c r="AAO49" s="22"/>
      <c r="AAP49" s="22"/>
      <c r="AAQ49" s="22"/>
      <c r="AAR49" s="22"/>
      <c r="AAS49" s="22"/>
      <c r="AAT49" s="22"/>
      <c r="AAU49" s="22"/>
      <c r="AAV49" s="22"/>
      <c r="AAW49" s="22"/>
      <c r="AAX49" s="22"/>
      <c r="AAY49" s="22"/>
      <c r="AAZ49" s="22"/>
      <c r="ABA49" s="22"/>
      <c r="ABB49" s="22"/>
      <c r="ABC49" s="22"/>
    </row>
    <row r="50" spans="1:731" ht="15" customHeight="1" x14ac:dyDescent="0.3">
      <c r="A50" s="414"/>
      <c r="B50" s="423"/>
      <c r="C50" s="8"/>
      <c r="D50" s="27" t="s">
        <v>11</v>
      </c>
      <c r="E50" s="73" t="s">
        <v>65</v>
      </c>
      <c r="F50" s="15">
        <f t="shared" si="70"/>
        <v>3.3950890823769515</v>
      </c>
      <c r="G50" s="16">
        <f t="shared" si="70"/>
        <v>0</v>
      </c>
      <c r="H50" s="52">
        <f t="shared" si="64"/>
        <v>3.3950890823769515</v>
      </c>
      <c r="I50" s="14" t="str">
        <f t="shared" si="1"/>
        <v/>
      </c>
      <c r="J50" s="15">
        <f>'[88]Summary - Apr 25'!$G$9/1000</f>
        <v>1013.54</v>
      </c>
      <c r="K50" s="74">
        <f>'[88]Summary - Apr 25'!$H$9/1000</f>
        <v>0</v>
      </c>
      <c r="L50" s="52">
        <f t="shared" si="65"/>
        <v>1013.54</v>
      </c>
      <c r="M50" s="14" t="str">
        <f t="shared" si="21"/>
        <v/>
      </c>
      <c r="N50" s="15">
        <f>'[88]Summary - Apr 25'!$K$9/1000</f>
        <v>1013.54</v>
      </c>
      <c r="O50" s="74">
        <f>'[88]Summary - Apr 25'!$L$9/1000</f>
        <v>0</v>
      </c>
      <c r="P50" s="52">
        <f t="shared" si="66"/>
        <v>1013.54</v>
      </c>
      <c r="Q50" s="14" t="str">
        <f t="shared" si="2"/>
        <v/>
      </c>
      <c r="R50" s="57"/>
      <c r="S50" s="16"/>
      <c r="T50" s="52">
        <f t="shared" si="67"/>
        <v>0</v>
      </c>
      <c r="U50" s="14" t="str">
        <f t="shared" si="30"/>
        <v/>
      </c>
      <c r="V50" s="57">
        <f>'[88]Summary - Apr 25'!$O$9/1000</f>
        <v>96.93971999999998</v>
      </c>
      <c r="W50" s="16">
        <f>'[88]Summary - Apr 25'!$P$9/1000</f>
        <v>0</v>
      </c>
      <c r="X50" s="52">
        <f t="shared" si="68"/>
        <v>96.93971999999998</v>
      </c>
      <c r="Y50" s="14" t="str">
        <f t="shared" si="4"/>
        <v/>
      </c>
      <c r="Z50" s="15"/>
      <c r="AA50" s="74"/>
      <c r="AB50" s="52">
        <f t="shared" si="69"/>
        <v>0</v>
      </c>
      <c r="AC50" s="19" t="str">
        <f t="shared" si="5"/>
        <v/>
      </c>
      <c r="AD50" s="137"/>
      <c r="AE50" s="138"/>
      <c r="AF50" s="108">
        <f t="shared" si="6"/>
        <v>0</v>
      </c>
      <c r="AG50" s="110" t="str">
        <f t="shared" si="7"/>
        <v/>
      </c>
      <c r="AH50" s="142"/>
      <c r="AI50" s="127"/>
      <c r="AJ50" s="108">
        <f t="shared" si="8"/>
        <v>0</v>
      </c>
      <c r="AK50" s="20" t="str">
        <f t="shared" si="71"/>
        <v/>
      </c>
      <c r="AL50" s="143">
        <f>'[88]Summary - Apr 25'!$S$9/1000</f>
        <v>916.60028</v>
      </c>
      <c r="AM50" s="136">
        <f>'[88]Summary - Apr 25'!$T$9/1000</f>
        <v>0</v>
      </c>
      <c r="AN50" s="13">
        <f t="shared" si="9"/>
        <v>916.60028</v>
      </c>
      <c r="AO50" s="19" t="str">
        <f t="shared" si="10"/>
        <v/>
      </c>
      <c r="AP50" s="51" t="s">
        <v>134</v>
      </c>
      <c r="AQ50" s="22"/>
      <c r="AR50" s="1">
        <f t="shared" si="11"/>
        <v>916.60028</v>
      </c>
      <c r="AS50" s="1">
        <f t="shared" si="12"/>
        <v>0</v>
      </c>
      <c r="AT50" s="1">
        <f t="shared" si="13"/>
        <v>-916.60028</v>
      </c>
      <c r="AU50" s="1">
        <f t="shared" si="14"/>
        <v>0</v>
      </c>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c r="FT50" s="22"/>
      <c r="FU50" s="22"/>
      <c r="FV50" s="22"/>
      <c r="FW50" s="22"/>
      <c r="FX50" s="22"/>
      <c r="FY50" s="22"/>
      <c r="FZ50" s="22"/>
      <c r="GA50" s="22"/>
      <c r="GB50" s="22"/>
      <c r="GC50" s="22"/>
      <c r="GD50" s="22"/>
      <c r="GE50" s="22"/>
      <c r="GF50" s="22"/>
      <c r="GG50" s="22"/>
      <c r="GH50" s="22"/>
      <c r="GI50" s="22"/>
      <c r="GJ50" s="22"/>
      <c r="GK50" s="22"/>
      <c r="GL50" s="22"/>
      <c r="GM50" s="22"/>
      <c r="GN50" s="22"/>
      <c r="GO50" s="22"/>
      <c r="GP50" s="22"/>
      <c r="GQ50" s="22"/>
      <c r="GR50" s="22"/>
      <c r="GS50" s="22"/>
      <c r="GT50" s="22"/>
      <c r="GU50" s="22"/>
      <c r="GV50" s="22"/>
      <c r="GW50" s="22"/>
      <c r="GX50" s="22"/>
      <c r="GY50" s="22"/>
      <c r="GZ50" s="22"/>
      <c r="HA50" s="22"/>
      <c r="HB50" s="22"/>
      <c r="HC50" s="22"/>
      <c r="HD50" s="22"/>
      <c r="HE50" s="22"/>
      <c r="HF50" s="22"/>
      <c r="HG50" s="22"/>
      <c r="HH50" s="22"/>
      <c r="HI50" s="22"/>
      <c r="HJ50" s="22"/>
      <c r="HK50" s="22"/>
      <c r="HL50" s="22"/>
      <c r="HM50" s="22"/>
      <c r="HN50" s="22"/>
      <c r="HO50" s="22"/>
      <c r="HP50" s="22"/>
      <c r="HQ50" s="22"/>
      <c r="HR50" s="22"/>
      <c r="HS50" s="22"/>
      <c r="HT50" s="22"/>
      <c r="HU50" s="22"/>
      <c r="HV50" s="22"/>
      <c r="HW50" s="22"/>
      <c r="HX50" s="22"/>
      <c r="HY50" s="22"/>
      <c r="HZ50" s="22"/>
      <c r="IA50" s="22"/>
      <c r="IB50" s="22"/>
      <c r="IC50" s="22"/>
      <c r="ID50" s="22"/>
      <c r="IE50" s="22"/>
      <c r="IF50" s="22"/>
      <c r="IG50" s="22"/>
      <c r="IH50" s="22"/>
      <c r="II50" s="22"/>
      <c r="IJ50" s="22"/>
      <c r="IK50" s="22"/>
      <c r="IL50" s="22"/>
      <c r="IM50" s="22"/>
      <c r="IN50" s="22"/>
      <c r="IO50" s="22"/>
      <c r="IP50" s="22"/>
      <c r="IQ50" s="22"/>
      <c r="IR50" s="22"/>
      <c r="IS50" s="22"/>
      <c r="IT50" s="22"/>
      <c r="IU50" s="22"/>
      <c r="IV50" s="22"/>
      <c r="IW50" s="22"/>
      <c r="IX50" s="22"/>
      <c r="IY50" s="22"/>
      <c r="IZ50" s="22"/>
      <c r="JA50" s="22"/>
      <c r="JB50" s="22"/>
      <c r="JC50" s="22"/>
      <c r="JD50" s="22"/>
      <c r="JE50" s="22"/>
      <c r="JJ50" s="22"/>
      <c r="JK50" s="22"/>
      <c r="JL50" s="22"/>
      <c r="JM50" s="22"/>
      <c r="JN50" s="22"/>
      <c r="JO50" s="22"/>
      <c r="JP50" s="22"/>
      <c r="JQ50" s="22"/>
      <c r="JR50" s="22"/>
      <c r="JS50" s="22"/>
      <c r="JT50" s="22"/>
      <c r="JU50" s="22"/>
      <c r="JV50" s="22"/>
      <c r="JW50" s="22"/>
      <c r="JX50" s="22"/>
      <c r="JY50" s="22"/>
      <c r="JZ50" s="22"/>
      <c r="KA50" s="22"/>
      <c r="KB50" s="22"/>
      <c r="KC50" s="22"/>
      <c r="KD50" s="22"/>
      <c r="KE50" s="22"/>
      <c r="KF50" s="22"/>
      <c r="KG50" s="22"/>
      <c r="KH50" s="22"/>
      <c r="KI50" s="22"/>
      <c r="KJ50" s="22"/>
      <c r="KK50" s="22"/>
      <c r="KL50" s="22"/>
      <c r="KM50" s="22"/>
      <c r="KN50" s="22"/>
      <c r="KO50" s="22"/>
      <c r="KP50" s="22"/>
      <c r="KQ50" s="22"/>
      <c r="KR50" s="22"/>
      <c r="KS50" s="22"/>
      <c r="KT50" s="22"/>
      <c r="KU50" s="22"/>
      <c r="KV50" s="22"/>
      <c r="KW50" s="22"/>
      <c r="KX50" s="22"/>
      <c r="KY50" s="22"/>
      <c r="KZ50" s="22"/>
      <c r="LA50" s="22"/>
      <c r="LB50" s="22"/>
      <c r="LC50" s="22"/>
      <c r="LD50" s="22"/>
      <c r="LE50" s="22"/>
      <c r="LF50" s="22"/>
      <c r="LG50" s="22"/>
      <c r="LH50" s="22"/>
      <c r="LI50" s="22"/>
      <c r="LJ50" s="22"/>
      <c r="LK50" s="22"/>
      <c r="LL50" s="22"/>
      <c r="LM50" s="22"/>
      <c r="LN50" s="22"/>
      <c r="LO50" s="22"/>
      <c r="LP50" s="22"/>
      <c r="LQ50" s="22"/>
      <c r="LR50" s="22"/>
      <c r="LS50" s="22"/>
      <c r="LT50" s="22"/>
      <c r="LU50" s="22"/>
      <c r="LV50" s="22"/>
      <c r="LW50" s="22"/>
      <c r="LX50" s="22"/>
      <c r="LY50" s="22"/>
      <c r="LZ50" s="22"/>
      <c r="MA50" s="22"/>
      <c r="MB50" s="22"/>
      <c r="MC50" s="22"/>
      <c r="MD50" s="22"/>
      <c r="ME50" s="22"/>
      <c r="MF50" s="22"/>
      <c r="MG50" s="22"/>
      <c r="MH50" s="22"/>
      <c r="MI50" s="22"/>
      <c r="MJ50" s="22"/>
      <c r="MK50" s="22"/>
      <c r="ML50" s="22"/>
      <c r="MM50" s="22"/>
      <c r="MN50" s="22"/>
      <c r="MO50" s="22"/>
      <c r="MP50" s="22"/>
      <c r="MQ50" s="22"/>
      <c r="MR50" s="22"/>
      <c r="MS50" s="22"/>
      <c r="MT50" s="22"/>
      <c r="MU50" s="22"/>
      <c r="MV50" s="22"/>
      <c r="MW50" s="22"/>
      <c r="MX50" s="22"/>
      <c r="MY50" s="22"/>
      <c r="MZ50" s="22"/>
      <c r="NA50" s="22"/>
      <c r="NB50" s="22"/>
      <c r="NC50" s="22"/>
      <c r="ND50" s="22"/>
      <c r="NE50" s="22"/>
      <c r="NF50" s="22"/>
      <c r="NG50" s="22"/>
      <c r="NH50" s="22"/>
      <c r="NI50" s="22"/>
      <c r="NJ50" s="22"/>
      <c r="NK50" s="22"/>
      <c r="NL50" s="22"/>
      <c r="NM50" s="22"/>
      <c r="NN50" s="22"/>
      <c r="NO50" s="22"/>
      <c r="NP50" s="22"/>
      <c r="NQ50" s="22"/>
      <c r="NR50" s="22"/>
      <c r="NS50" s="22"/>
      <c r="NT50" s="22"/>
      <c r="NU50" s="22"/>
      <c r="NV50" s="22"/>
      <c r="NW50" s="22"/>
      <c r="NX50" s="22"/>
      <c r="NY50" s="22"/>
      <c r="NZ50" s="22"/>
      <c r="OA50" s="22"/>
      <c r="OB50" s="22"/>
      <c r="OC50" s="22"/>
      <c r="OD50" s="22"/>
      <c r="OE50" s="22"/>
      <c r="OF50" s="22"/>
      <c r="OG50" s="22"/>
      <c r="OH50" s="22"/>
      <c r="OI50" s="22"/>
      <c r="OJ50" s="22"/>
      <c r="OK50" s="22"/>
      <c r="OL50" s="22"/>
      <c r="OM50" s="22"/>
      <c r="ON50" s="22"/>
      <c r="OO50" s="22"/>
      <c r="OP50" s="22"/>
      <c r="OQ50" s="22"/>
      <c r="OR50" s="22"/>
      <c r="OS50" s="22"/>
      <c r="OT50" s="22"/>
      <c r="OU50" s="22"/>
      <c r="OV50" s="22"/>
      <c r="OW50" s="22"/>
      <c r="OX50" s="22"/>
      <c r="OY50" s="22"/>
      <c r="OZ50" s="22"/>
      <c r="PA50" s="22"/>
      <c r="PB50" s="22"/>
      <c r="PC50" s="22"/>
      <c r="PD50" s="22"/>
      <c r="PE50" s="22"/>
      <c r="PF50" s="22"/>
      <c r="PG50" s="22"/>
      <c r="PH50" s="22"/>
      <c r="PI50" s="22"/>
      <c r="PJ50" s="22"/>
      <c r="PK50" s="22"/>
      <c r="PL50" s="22"/>
      <c r="PM50" s="22"/>
      <c r="PN50" s="22"/>
      <c r="PO50" s="22"/>
      <c r="PP50" s="22"/>
      <c r="PQ50" s="22"/>
      <c r="PR50" s="22"/>
      <c r="PS50" s="22"/>
      <c r="PT50" s="22"/>
      <c r="PU50" s="22"/>
      <c r="PV50" s="22"/>
      <c r="PW50" s="22"/>
      <c r="PX50" s="22"/>
      <c r="PY50" s="22"/>
      <c r="PZ50" s="22"/>
      <c r="QA50" s="22"/>
      <c r="QB50" s="22"/>
      <c r="QC50" s="22"/>
      <c r="QD50" s="22"/>
      <c r="QE50" s="22"/>
      <c r="QF50" s="22"/>
      <c r="QG50" s="22"/>
      <c r="QH50" s="22"/>
      <c r="QI50" s="22"/>
      <c r="QJ50" s="22"/>
      <c r="QK50" s="22"/>
      <c r="QL50" s="22"/>
      <c r="QM50" s="22"/>
      <c r="QN50" s="22"/>
      <c r="QO50" s="22"/>
      <c r="QP50" s="22"/>
      <c r="QQ50" s="22"/>
      <c r="QR50" s="22"/>
      <c r="QS50" s="22"/>
      <c r="QT50" s="22"/>
      <c r="QU50" s="22"/>
      <c r="QV50" s="22"/>
      <c r="QW50" s="22"/>
      <c r="QX50" s="22"/>
      <c r="QY50" s="22"/>
      <c r="QZ50" s="22"/>
      <c r="RA50" s="22"/>
      <c r="RB50" s="22"/>
      <c r="RC50" s="22"/>
      <c r="RD50" s="22"/>
      <c r="RE50" s="22"/>
      <c r="RF50" s="22"/>
      <c r="RG50" s="22"/>
      <c r="RH50" s="22"/>
      <c r="RI50" s="22"/>
      <c r="RJ50" s="22"/>
      <c r="RK50" s="22"/>
      <c r="RL50" s="22"/>
      <c r="RM50" s="22"/>
      <c r="RN50" s="22"/>
      <c r="RO50" s="22"/>
      <c r="RP50" s="22"/>
      <c r="RQ50" s="22"/>
      <c r="RR50" s="22"/>
      <c r="RS50" s="22"/>
      <c r="RT50" s="22"/>
      <c r="RU50" s="22"/>
      <c r="RV50" s="22"/>
      <c r="RW50" s="22"/>
      <c r="RX50" s="22"/>
      <c r="RY50" s="22"/>
      <c r="RZ50" s="22"/>
      <c r="SA50" s="22"/>
      <c r="SB50" s="22"/>
      <c r="SC50" s="22"/>
      <c r="SD50" s="22"/>
      <c r="SE50" s="22"/>
      <c r="SF50" s="22"/>
      <c r="SG50" s="22"/>
      <c r="SH50" s="22"/>
      <c r="SI50" s="22"/>
      <c r="SJ50" s="22"/>
      <c r="SK50" s="22"/>
      <c r="SL50" s="22"/>
      <c r="SM50" s="22"/>
      <c r="SN50" s="22"/>
      <c r="SO50" s="22"/>
      <c r="SP50" s="22"/>
      <c r="SQ50" s="22"/>
      <c r="SR50" s="22"/>
      <c r="SS50" s="22"/>
      <c r="ST50" s="22"/>
      <c r="SU50" s="22"/>
      <c r="SV50" s="22"/>
      <c r="SW50" s="22"/>
      <c r="SX50" s="22"/>
      <c r="SY50" s="22"/>
      <c r="SZ50" s="22"/>
      <c r="TA50" s="22"/>
      <c r="TB50" s="22"/>
      <c r="TC50" s="22"/>
      <c r="TD50" s="22"/>
      <c r="TE50" s="22"/>
      <c r="TF50" s="22"/>
      <c r="TG50" s="22"/>
      <c r="TH50" s="22"/>
      <c r="TI50" s="22"/>
      <c r="TJ50" s="22"/>
      <c r="TK50" s="22"/>
      <c r="TL50" s="22"/>
      <c r="TM50" s="22"/>
      <c r="TN50" s="22"/>
      <c r="TO50" s="22"/>
      <c r="TP50" s="22"/>
      <c r="TQ50" s="22"/>
      <c r="TR50" s="22"/>
      <c r="TS50" s="22"/>
      <c r="TT50" s="22"/>
      <c r="TU50" s="22"/>
      <c r="TV50" s="22"/>
      <c r="TW50" s="22"/>
      <c r="TX50" s="22"/>
      <c r="TY50" s="22"/>
      <c r="TZ50" s="22"/>
      <c r="UA50" s="22"/>
      <c r="UB50" s="22"/>
      <c r="UC50" s="22"/>
      <c r="UD50" s="22"/>
      <c r="UE50" s="22"/>
      <c r="UF50" s="22"/>
      <c r="UG50" s="22"/>
      <c r="UH50" s="22"/>
      <c r="UI50" s="22"/>
      <c r="UJ50" s="22"/>
      <c r="UK50" s="22"/>
      <c r="UL50" s="22"/>
      <c r="UM50" s="22"/>
      <c r="UN50" s="22"/>
      <c r="UO50" s="22"/>
      <c r="UP50" s="22"/>
      <c r="UQ50" s="22"/>
      <c r="UR50" s="22"/>
      <c r="US50" s="22"/>
      <c r="UT50" s="22"/>
      <c r="UU50" s="22"/>
      <c r="UV50" s="22"/>
      <c r="UW50" s="22"/>
      <c r="UX50" s="22"/>
      <c r="UY50" s="22"/>
      <c r="UZ50" s="22"/>
      <c r="VA50" s="22"/>
      <c r="VB50" s="22"/>
      <c r="VC50" s="22"/>
      <c r="VD50" s="22"/>
      <c r="VE50" s="22"/>
      <c r="VF50" s="22"/>
      <c r="VG50" s="22"/>
      <c r="VH50" s="22"/>
      <c r="VI50" s="22"/>
      <c r="VJ50" s="22"/>
      <c r="VK50" s="22"/>
      <c r="VL50" s="22"/>
      <c r="VM50" s="22"/>
      <c r="VN50" s="22"/>
      <c r="VO50" s="22"/>
      <c r="VP50" s="22"/>
      <c r="VQ50" s="22"/>
      <c r="VR50" s="22"/>
      <c r="VS50" s="22"/>
      <c r="VT50" s="22"/>
      <c r="VU50" s="22"/>
      <c r="VV50" s="22"/>
      <c r="VW50" s="22"/>
      <c r="VX50" s="22"/>
      <c r="VY50" s="22"/>
      <c r="VZ50" s="22"/>
      <c r="WA50" s="22"/>
      <c r="WB50" s="22"/>
      <c r="WC50" s="22"/>
      <c r="WD50" s="22"/>
      <c r="WE50" s="22"/>
      <c r="WF50" s="22"/>
      <c r="WG50" s="22"/>
      <c r="WH50" s="22"/>
      <c r="WI50" s="22"/>
      <c r="WJ50" s="22"/>
      <c r="WK50" s="22"/>
      <c r="WL50" s="22"/>
      <c r="WM50" s="22"/>
      <c r="WN50" s="22"/>
      <c r="WO50" s="22"/>
      <c r="WP50" s="22"/>
      <c r="WQ50" s="22"/>
      <c r="WR50" s="22"/>
      <c r="WS50" s="22"/>
      <c r="WT50" s="22"/>
      <c r="WU50" s="22"/>
      <c r="WV50" s="22"/>
      <c r="WW50" s="22"/>
      <c r="WX50" s="22"/>
      <c r="WY50" s="22"/>
      <c r="WZ50" s="22"/>
      <c r="XA50" s="22"/>
      <c r="XB50" s="22"/>
      <c r="XC50" s="22"/>
      <c r="XD50" s="22"/>
      <c r="XE50" s="22"/>
      <c r="XF50" s="22"/>
      <c r="XG50" s="22"/>
      <c r="XH50" s="22"/>
      <c r="XI50" s="22"/>
      <c r="XJ50" s="22"/>
      <c r="XK50" s="22"/>
      <c r="XL50" s="22"/>
      <c r="XM50" s="22"/>
      <c r="XN50" s="22"/>
      <c r="XO50" s="22"/>
      <c r="XP50" s="22"/>
      <c r="XQ50" s="22"/>
      <c r="XR50" s="22"/>
      <c r="XS50" s="22"/>
      <c r="XT50" s="22"/>
      <c r="XU50" s="22"/>
      <c r="XV50" s="22"/>
      <c r="XW50" s="22"/>
      <c r="XX50" s="22"/>
      <c r="XY50" s="22"/>
      <c r="XZ50" s="22"/>
      <c r="YA50" s="22"/>
      <c r="YB50" s="22"/>
      <c r="YC50" s="22"/>
      <c r="YD50" s="22"/>
      <c r="YE50" s="22"/>
      <c r="YF50" s="22"/>
      <c r="YG50" s="22"/>
      <c r="YH50" s="22"/>
      <c r="YI50" s="22"/>
      <c r="YJ50" s="22"/>
      <c r="YK50" s="22"/>
      <c r="YL50" s="22"/>
      <c r="YM50" s="22"/>
      <c r="YN50" s="22"/>
      <c r="YO50" s="22"/>
      <c r="YP50" s="22"/>
      <c r="YQ50" s="22"/>
      <c r="YR50" s="22"/>
      <c r="YS50" s="22"/>
      <c r="YT50" s="22"/>
      <c r="YU50" s="22"/>
      <c r="YV50" s="22"/>
      <c r="YW50" s="22"/>
      <c r="YX50" s="22"/>
      <c r="YY50" s="22"/>
      <c r="YZ50" s="22"/>
      <c r="ZA50" s="22"/>
      <c r="ZB50" s="22"/>
      <c r="ZC50" s="22"/>
      <c r="ZD50" s="22"/>
      <c r="ZE50" s="22"/>
      <c r="ZF50" s="22"/>
      <c r="ZG50" s="22"/>
      <c r="ZH50" s="22"/>
      <c r="ZI50" s="22"/>
      <c r="ZJ50" s="22"/>
      <c r="ZK50" s="22"/>
      <c r="ZL50" s="22"/>
      <c r="ZM50" s="22"/>
      <c r="ZN50" s="22"/>
      <c r="ZO50" s="22"/>
      <c r="ZP50" s="22"/>
      <c r="ZQ50" s="22"/>
      <c r="ZR50" s="22"/>
      <c r="ZS50" s="22"/>
      <c r="ZT50" s="22"/>
      <c r="ZU50" s="22"/>
      <c r="ZV50" s="22"/>
      <c r="ZW50" s="22"/>
      <c r="ZX50" s="22"/>
      <c r="ZY50" s="22"/>
      <c r="ZZ50" s="22"/>
      <c r="AAA50" s="22"/>
      <c r="AAB50" s="22"/>
      <c r="AAC50" s="22"/>
      <c r="AAD50" s="22"/>
      <c r="AAE50" s="22"/>
      <c r="AAF50" s="22"/>
      <c r="AAG50" s="22"/>
      <c r="AAH50" s="22"/>
      <c r="AAI50" s="22"/>
      <c r="AAJ50" s="22"/>
      <c r="AAK50" s="22"/>
      <c r="AAL50" s="22"/>
      <c r="AAM50" s="22"/>
      <c r="AAN50" s="22"/>
      <c r="AAO50" s="22"/>
      <c r="AAP50" s="22"/>
      <c r="AAQ50" s="22"/>
      <c r="AAR50" s="22"/>
      <c r="AAS50" s="22"/>
      <c r="AAT50" s="22"/>
      <c r="AAU50" s="22"/>
      <c r="AAV50" s="22"/>
      <c r="AAW50" s="22"/>
      <c r="AAX50" s="22"/>
      <c r="AAY50" s="22"/>
      <c r="AAZ50" s="22"/>
      <c r="ABA50" s="22"/>
      <c r="ABB50" s="22"/>
      <c r="ABC50" s="22"/>
    </row>
    <row r="51" spans="1:731" ht="15" customHeight="1" x14ac:dyDescent="0.3">
      <c r="A51" s="414"/>
      <c r="B51" s="423"/>
      <c r="C51" s="8"/>
      <c r="D51" s="27" t="s">
        <v>11</v>
      </c>
      <c r="E51" s="73" t="s">
        <v>66</v>
      </c>
      <c r="F51" s="15">
        <f t="shared" si="70"/>
        <v>0</v>
      </c>
      <c r="G51" s="16">
        <f t="shared" si="70"/>
        <v>0</v>
      </c>
      <c r="H51" s="52">
        <f t="shared" si="64"/>
        <v>0</v>
      </c>
      <c r="I51" s="14" t="str">
        <f t="shared" si="1"/>
        <v/>
      </c>
      <c r="J51" s="15"/>
      <c r="K51" s="74"/>
      <c r="L51" s="52">
        <f t="shared" si="65"/>
        <v>0</v>
      </c>
      <c r="M51" s="14" t="str">
        <f t="shared" si="21"/>
        <v/>
      </c>
      <c r="N51" s="15"/>
      <c r="O51" s="74"/>
      <c r="P51" s="52">
        <f t="shared" si="66"/>
        <v>0</v>
      </c>
      <c r="Q51" s="14" t="str">
        <f t="shared" si="2"/>
        <v/>
      </c>
      <c r="R51" s="57"/>
      <c r="S51" s="16"/>
      <c r="T51" s="52">
        <f t="shared" si="67"/>
        <v>0</v>
      </c>
      <c r="U51" s="14" t="str">
        <f t="shared" si="30"/>
        <v/>
      </c>
      <c r="V51" s="57">
        <f>'[88]Summary - Apr 25'!$O$10/1000</f>
        <v>96.93971999999998</v>
      </c>
      <c r="W51" s="16"/>
      <c r="X51" s="52">
        <f t="shared" si="68"/>
        <v>96.93971999999998</v>
      </c>
      <c r="Y51" s="14" t="str">
        <f t="shared" si="4"/>
        <v/>
      </c>
      <c r="Z51" s="15"/>
      <c r="AA51" s="74"/>
      <c r="AB51" s="52">
        <f t="shared" si="69"/>
        <v>0</v>
      </c>
      <c r="AC51" s="19" t="str">
        <f t="shared" si="5"/>
        <v/>
      </c>
      <c r="AD51" s="137"/>
      <c r="AE51" s="138"/>
      <c r="AF51" s="108">
        <f t="shared" si="6"/>
        <v>0</v>
      </c>
      <c r="AG51" s="110" t="str">
        <f t="shared" si="7"/>
        <v/>
      </c>
      <c r="AH51" s="142"/>
      <c r="AI51" s="127"/>
      <c r="AJ51" s="108">
        <f t="shared" si="8"/>
        <v>0</v>
      </c>
      <c r="AK51" s="20" t="str">
        <f t="shared" si="71"/>
        <v/>
      </c>
      <c r="AL51" s="143">
        <f>'[88]Summary - Apr 25'!$S$10/1000</f>
        <v>-96.93971999999998</v>
      </c>
      <c r="AM51" s="136"/>
      <c r="AN51" s="13">
        <f t="shared" si="9"/>
        <v>-96.93971999999998</v>
      </c>
      <c r="AO51" s="19" t="str">
        <f t="shared" si="10"/>
        <v/>
      </c>
      <c r="AP51" s="51" t="s">
        <v>135</v>
      </c>
      <c r="AQ51" s="22"/>
      <c r="AR51" s="1">
        <f t="shared" si="11"/>
        <v>-96.93971999999998</v>
      </c>
      <c r="AS51" s="1">
        <f t="shared" si="12"/>
        <v>0</v>
      </c>
      <c r="AT51" s="1">
        <f t="shared" si="13"/>
        <v>96.93971999999998</v>
      </c>
      <c r="AU51" s="1">
        <f t="shared" si="14"/>
        <v>0</v>
      </c>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c r="FT51" s="22"/>
      <c r="FU51" s="22"/>
      <c r="FV51" s="22"/>
      <c r="FW51" s="22"/>
      <c r="FX51" s="22"/>
      <c r="FY51" s="22"/>
      <c r="FZ51" s="22"/>
      <c r="GA51" s="22"/>
      <c r="GB51" s="22"/>
      <c r="GC51" s="22"/>
      <c r="GD51" s="22"/>
      <c r="GE51" s="22"/>
      <c r="GF51" s="22"/>
      <c r="GG51" s="22"/>
      <c r="GH51" s="22"/>
      <c r="GI51" s="22"/>
      <c r="GJ51" s="22"/>
      <c r="GK51" s="22"/>
      <c r="GL51" s="22"/>
      <c r="GM51" s="22"/>
      <c r="GN51" s="22"/>
      <c r="GO51" s="22"/>
      <c r="GP51" s="22"/>
      <c r="GQ51" s="22"/>
      <c r="GR51" s="22"/>
      <c r="GS51" s="22"/>
      <c r="GT51" s="22"/>
      <c r="GU51" s="22"/>
      <c r="GV51" s="22"/>
      <c r="GW51" s="22"/>
      <c r="GX51" s="22"/>
      <c r="GY51" s="22"/>
      <c r="GZ51" s="22"/>
      <c r="HA51" s="22"/>
      <c r="HB51" s="22"/>
      <c r="HC51" s="22"/>
      <c r="HD51" s="22"/>
      <c r="HE51" s="22"/>
      <c r="HF51" s="22"/>
      <c r="HG51" s="22"/>
      <c r="HH51" s="22"/>
      <c r="HI51" s="22"/>
      <c r="HJ51" s="22"/>
      <c r="HK51" s="22"/>
      <c r="HL51" s="22"/>
      <c r="HM51" s="22"/>
      <c r="HN51" s="22"/>
      <c r="HO51" s="22"/>
      <c r="HP51" s="22"/>
      <c r="HQ51" s="22"/>
      <c r="HR51" s="22"/>
      <c r="HS51" s="22"/>
      <c r="HT51" s="22"/>
      <c r="HU51" s="22"/>
      <c r="HV51" s="22"/>
      <c r="HW51" s="22"/>
      <c r="HX51" s="22"/>
      <c r="HY51" s="22"/>
      <c r="HZ51" s="22"/>
      <c r="IA51" s="22"/>
      <c r="IB51" s="22"/>
      <c r="IC51" s="22"/>
      <c r="ID51" s="22"/>
      <c r="IE51" s="22"/>
      <c r="IF51" s="22"/>
      <c r="IG51" s="22"/>
      <c r="IH51" s="22"/>
      <c r="II51" s="22"/>
      <c r="IJ51" s="22"/>
      <c r="IK51" s="22"/>
      <c r="IL51" s="22"/>
      <c r="IM51" s="22"/>
      <c r="IN51" s="22"/>
      <c r="IO51" s="22"/>
      <c r="IP51" s="22"/>
      <c r="IQ51" s="22"/>
      <c r="IR51" s="22"/>
      <c r="IS51" s="22"/>
      <c r="IT51" s="22"/>
      <c r="IU51" s="22"/>
      <c r="IV51" s="22"/>
      <c r="IW51" s="22"/>
      <c r="IX51" s="22"/>
      <c r="IY51" s="22"/>
      <c r="IZ51" s="22"/>
      <c r="JA51" s="22"/>
      <c r="JB51" s="22"/>
      <c r="JC51" s="22"/>
      <c r="JD51" s="22"/>
      <c r="JE51" s="22"/>
      <c r="JJ51" s="22"/>
      <c r="JK51" s="22"/>
      <c r="JL51" s="22"/>
      <c r="JM51" s="22"/>
      <c r="JN51" s="22"/>
      <c r="JO51" s="22"/>
      <c r="JP51" s="22"/>
      <c r="JQ51" s="22"/>
      <c r="JR51" s="22"/>
      <c r="JS51" s="22"/>
      <c r="JT51" s="22"/>
      <c r="JU51" s="22"/>
      <c r="JV51" s="22"/>
      <c r="JW51" s="22"/>
      <c r="JX51" s="22"/>
      <c r="JY51" s="22"/>
      <c r="JZ51" s="22"/>
      <c r="KA51" s="22"/>
      <c r="KB51" s="22"/>
      <c r="KC51" s="22"/>
      <c r="KD51" s="22"/>
      <c r="KE51" s="22"/>
      <c r="KF51" s="22"/>
      <c r="KG51" s="22"/>
      <c r="KH51" s="22"/>
      <c r="KI51" s="22"/>
      <c r="KJ51" s="22"/>
      <c r="KK51" s="22"/>
      <c r="KL51" s="22"/>
      <c r="KM51" s="22"/>
      <c r="KN51" s="22"/>
      <c r="KO51" s="22"/>
      <c r="KP51" s="22"/>
      <c r="KQ51" s="22"/>
      <c r="KR51" s="22"/>
      <c r="KS51" s="22"/>
      <c r="KT51" s="22"/>
      <c r="KU51" s="22"/>
      <c r="KV51" s="22"/>
      <c r="KW51" s="22"/>
      <c r="KX51" s="22"/>
      <c r="KY51" s="22"/>
      <c r="KZ51" s="22"/>
      <c r="LA51" s="22"/>
      <c r="LB51" s="22"/>
      <c r="LC51" s="22"/>
      <c r="LD51" s="22"/>
      <c r="LE51" s="22"/>
      <c r="LF51" s="22"/>
      <c r="LG51" s="22"/>
      <c r="LH51" s="22"/>
      <c r="LI51" s="22"/>
      <c r="LJ51" s="22"/>
      <c r="LK51" s="22"/>
      <c r="LL51" s="22"/>
      <c r="LM51" s="22"/>
      <c r="LN51" s="22"/>
      <c r="LO51" s="22"/>
      <c r="LP51" s="22"/>
      <c r="LQ51" s="22"/>
      <c r="LR51" s="22"/>
      <c r="LS51" s="22"/>
      <c r="LT51" s="22"/>
      <c r="LU51" s="22"/>
      <c r="LV51" s="22"/>
      <c r="LW51" s="22"/>
      <c r="LX51" s="22"/>
      <c r="LY51" s="22"/>
      <c r="LZ51" s="22"/>
      <c r="MA51" s="22"/>
      <c r="MB51" s="22"/>
      <c r="MC51" s="22"/>
      <c r="MD51" s="22"/>
      <c r="ME51" s="22"/>
      <c r="MF51" s="22"/>
      <c r="MG51" s="22"/>
      <c r="MH51" s="22"/>
      <c r="MI51" s="22"/>
      <c r="MJ51" s="22"/>
      <c r="MK51" s="22"/>
      <c r="ML51" s="22"/>
      <c r="MM51" s="22"/>
      <c r="MN51" s="22"/>
      <c r="MO51" s="22"/>
      <c r="MP51" s="22"/>
      <c r="MQ51" s="22"/>
      <c r="MR51" s="22"/>
      <c r="MS51" s="22"/>
      <c r="MT51" s="22"/>
      <c r="MU51" s="22"/>
      <c r="MV51" s="22"/>
      <c r="MW51" s="22"/>
      <c r="MX51" s="22"/>
      <c r="MY51" s="22"/>
      <c r="MZ51" s="22"/>
      <c r="NA51" s="22"/>
      <c r="NB51" s="22"/>
      <c r="NC51" s="22"/>
      <c r="ND51" s="22"/>
      <c r="NE51" s="22"/>
      <c r="NF51" s="22"/>
      <c r="NG51" s="22"/>
      <c r="NH51" s="22"/>
      <c r="NI51" s="22"/>
      <c r="NJ51" s="22"/>
      <c r="NK51" s="22"/>
      <c r="NL51" s="22"/>
      <c r="NM51" s="22"/>
      <c r="NN51" s="22"/>
      <c r="NO51" s="22"/>
      <c r="NP51" s="22"/>
      <c r="NQ51" s="22"/>
      <c r="NR51" s="22"/>
      <c r="NS51" s="22"/>
      <c r="NT51" s="22"/>
      <c r="NU51" s="22"/>
      <c r="NV51" s="22"/>
      <c r="NW51" s="22"/>
      <c r="NX51" s="22"/>
      <c r="NY51" s="22"/>
      <c r="NZ51" s="22"/>
      <c r="OA51" s="22"/>
      <c r="OB51" s="22"/>
      <c r="OC51" s="22"/>
      <c r="OD51" s="22"/>
      <c r="OE51" s="22"/>
      <c r="OF51" s="22"/>
      <c r="OG51" s="22"/>
      <c r="OH51" s="22"/>
      <c r="OI51" s="22"/>
      <c r="OJ51" s="22"/>
      <c r="OK51" s="22"/>
      <c r="OL51" s="22"/>
      <c r="OM51" s="22"/>
      <c r="ON51" s="22"/>
      <c r="OO51" s="22"/>
      <c r="OP51" s="22"/>
      <c r="OQ51" s="22"/>
      <c r="OR51" s="22"/>
      <c r="OS51" s="22"/>
      <c r="OT51" s="22"/>
      <c r="OU51" s="22"/>
      <c r="OV51" s="22"/>
      <c r="OW51" s="22"/>
      <c r="OX51" s="22"/>
      <c r="OY51" s="22"/>
      <c r="OZ51" s="22"/>
      <c r="PA51" s="22"/>
      <c r="PB51" s="22"/>
      <c r="PC51" s="22"/>
      <c r="PD51" s="22"/>
      <c r="PE51" s="22"/>
      <c r="PF51" s="22"/>
      <c r="PG51" s="22"/>
      <c r="PH51" s="22"/>
      <c r="PI51" s="22"/>
      <c r="PJ51" s="22"/>
      <c r="PK51" s="22"/>
      <c r="PL51" s="22"/>
      <c r="PM51" s="22"/>
      <c r="PN51" s="22"/>
      <c r="PO51" s="22"/>
      <c r="PP51" s="22"/>
      <c r="PQ51" s="22"/>
      <c r="PR51" s="22"/>
      <c r="PS51" s="22"/>
      <c r="PT51" s="22"/>
      <c r="PU51" s="22"/>
      <c r="PV51" s="22"/>
      <c r="PW51" s="22"/>
      <c r="PX51" s="22"/>
      <c r="PY51" s="22"/>
      <c r="PZ51" s="22"/>
      <c r="QA51" s="22"/>
      <c r="QB51" s="22"/>
      <c r="QC51" s="22"/>
      <c r="QD51" s="22"/>
      <c r="QE51" s="22"/>
      <c r="QF51" s="22"/>
      <c r="QG51" s="22"/>
      <c r="QH51" s="22"/>
      <c r="QI51" s="22"/>
      <c r="QJ51" s="22"/>
      <c r="QK51" s="22"/>
      <c r="QL51" s="22"/>
      <c r="QM51" s="22"/>
      <c r="QN51" s="22"/>
      <c r="QO51" s="22"/>
      <c r="QP51" s="22"/>
      <c r="QQ51" s="22"/>
      <c r="QR51" s="22"/>
      <c r="QS51" s="22"/>
      <c r="QT51" s="22"/>
      <c r="QU51" s="22"/>
      <c r="QV51" s="22"/>
      <c r="QW51" s="22"/>
      <c r="QX51" s="22"/>
      <c r="QY51" s="22"/>
      <c r="QZ51" s="22"/>
      <c r="RA51" s="22"/>
      <c r="RB51" s="22"/>
      <c r="RC51" s="22"/>
      <c r="RD51" s="22"/>
      <c r="RE51" s="22"/>
      <c r="RF51" s="22"/>
      <c r="RG51" s="22"/>
      <c r="RH51" s="22"/>
      <c r="RI51" s="22"/>
      <c r="RJ51" s="22"/>
      <c r="RK51" s="22"/>
      <c r="RL51" s="22"/>
      <c r="RM51" s="22"/>
      <c r="RN51" s="22"/>
      <c r="RO51" s="22"/>
      <c r="RP51" s="22"/>
      <c r="RQ51" s="22"/>
      <c r="RR51" s="22"/>
      <c r="RS51" s="22"/>
      <c r="RT51" s="22"/>
      <c r="RU51" s="22"/>
      <c r="RV51" s="22"/>
      <c r="RW51" s="22"/>
      <c r="RX51" s="22"/>
      <c r="RY51" s="22"/>
      <c r="RZ51" s="22"/>
      <c r="SA51" s="22"/>
      <c r="SB51" s="22"/>
      <c r="SC51" s="22"/>
      <c r="SD51" s="22"/>
      <c r="SE51" s="22"/>
      <c r="SF51" s="22"/>
      <c r="SG51" s="22"/>
      <c r="SH51" s="22"/>
      <c r="SI51" s="22"/>
      <c r="SJ51" s="22"/>
      <c r="SK51" s="22"/>
      <c r="SL51" s="22"/>
      <c r="SM51" s="22"/>
      <c r="SN51" s="22"/>
      <c r="SO51" s="22"/>
      <c r="SP51" s="22"/>
      <c r="SQ51" s="22"/>
      <c r="SR51" s="22"/>
      <c r="SS51" s="22"/>
      <c r="ST51" s="22"/>
      <c r="SU51" s="22"/>
      <c r="SV51" s="22"/>
      <c r="SW51" s="22"/>
      <c r="SX51" s="22"/>
      <c r="SY51" s="22"/>
      <c r="SZ51" s="22"/>
      <c r="TA51" s="22"/>
      <c r="TB51" s="22"/>
      <c r="TC51" s="22"/>
      <c r="TD51" s="22"/>
      <c r="TE51" s="22"/>
      <c r="TF51" s="22"/>
      <c r="TG51" s="22"/>
      <c r="TH51" s="22"/>
      <c r="TI51" s="22"/>
      <c r="TJ51" s="22"/>
      <c r="TK51" s="22"/>
      <c r="TL51" s="22"/>
      <c r="TM51" s="22"/>
      <c r="TN51" s="22"/>
      <c r="TO51" s="22"/>
      <c r="TP51" s="22"/>
      <c r="TQ51" s="22"/>
      <c r="TR51" s="22"/>
      <c r="TS51" s="22"/>
      <c r="TT51" s="22"/>
      <c r="TU51" s="22"/>
      <c r="TV51" s="22"/>
      <c r="TW51" s="22"/>
      <c r="TX51" s="22"/>
      <c r="TY51" s="22"/>
      <c r="TZ51" s="22"/>
      <c r="UA51" s="22"/>
      <c r="UB51" s="22"/>
      <c r="UC51" s="22"/>
      <c r="UD51" s="22"/>
      <c r="UE51" s="22"/>
      <c r="UF51" s="22"/>
      <c r="UG51" s="22"/>
      <c r="UH51" s="22"/>
      <c r="UI51" s="22"/>
      <c r="UJ51" s="22"/>
      <c r="UK51" s="22"/>
      <c r="UL51" s="22"/>
      <c r="UM51" s="22"/>
      <c r="UN51" s="22"/>
      <c r="UO51" s="22"/>
      <c r="UP51" s="22"/>
      <c r="UQ51" s="22"/>
      <c r="UR51" s="22"/>
      <c r="US51" s="22"/>
      <c r="UT51" s="22"/>
      <c r="UU51" s="22"/>
      <c r="UV51" s="22"/>
      <c r="UW51" s="22"/>
      <c r="UX51" s="22"/>
      <c r="UY51" s="22"/>
      <c r="UZ51" s="22"/>
      <c r="VA51" s="22"/>
      <c r="VB51" s="22"/>
      <c r="VC51" s="22"/>
      <c r="VD51" s="22"/>
      <c r="VE51" s="22"/>
      <c r="VF51" s="22"/>
      <c r="VG51" s="22"/>
      <c r="VH51" s="22"/>
      <c r="VI51" s="22"/>
      <c r="VJ51" s="22"/>
      <c r="VK51" s="22"/>
      <c r="VL51" s="22"/>
      <c r="VM51" s="22"/>
      <c r="VN51" s="22"/>
      <c r="VO51" s="22"/>
      <c r="VP51" s="22"/>
      <c r="VQ51" s="22"/>
      <c r="VR51" s="22"/>
      <c r="VS51" s="22"/>
      <c r="VT51" s="22"/>
      <c r="VU51" s="22"/>
      <c r="VV51" s="22"/>
      <c r="VW51" s="22"/>
      <c r="VX51" s="22"/>
      <c r="VY51" s="22"/>
      <c r="VZ51" s="22"/>
      <c r="WA51" s="22"/>
      <c r="WB51" s="22"/>
      <c r="WC51" s="22"/>
      <c r="WD51" s="22"/>
      <c r="WE51" s="22"/>
      <c r="WF51" s="22"/>
      <c r="WG51" s="22"/>
      <c r="WH51" s="22"/>
      <c r="WI51" s="22"/>
      <c r="WJ51" s="22"/>
      <c r="WK51" s="22"/>
      <c r="WL51" s="22"/>
      <c r="WM51" s="22"/>
      <c r="WN51" s="22"/>
      <c r="WO51" s="22"/>
      <c r="WP51" s="22"/>
      <c r="WQ51" s="22"/>
      <c r="WR51" s="22"/>
      <c r="WS51" s="22"/>
      <c r="WT51" s="22"/>
      <c r="WU51" s="22"/>
      <c r="WV51" s="22"/>
      <c r="WW51" s="22"/>
      <c r="WX51" s="22"/>
      <c r="WY51" s="22"/>
      <c r="WZ51" s="22"/>
      <c r="XA51" s="22"/>
      <c r="XB51" s="22"/>
      <c r="XC51" s="22"/>
      <c r="XD51" s="22"/>
      <c r="XE51" s="22"/>
      <c r="XF51" s="22"/>
      <c r="XG51" s="22"/>
      <c r="XH51" s="22"/>
      <c r="XI51" s="22"/>
      <c r="XJ51" s="22"/>
      <c r="XK51" s="22"/>
      <c r="XL51" s="22"/>
      <c r="XM51" s="22"/>
      <c r="XN51" s="22"/>
      <c r="XO51" s="22"/>
      <c r="XP51" s="22"/>
      <c r="XQ51" s="22"/>
      <c r="XR51" s="22"/>
      <c r="XS51" s="22"/>
      <c r="XT51" s="22"/>
      <c r="XU51" s="22"/>
      <c r="XV51" s="22"/>
      <c r="XW51" s="22"/>
      <c r="XX51" s="22"/>
      <c r="XY51" s="22"/>
      <c r="XZ51" s="22"/>
      <c r="YA51" s="22"/>
      <c r="YB51" s="22"/>
      <c r="YC51" s="22"/>
      <c r="YD51" s="22"/>
      <c r="YE51" s="22"/>
      <c r="YF51" s="22"/>
      <c r="YG51" s="22"/>
      <c r="YH51" s="22"/>
      <c r="YI51" s="22"/>
      <c r="YJ51" s="22"/>
      <c r="YK51" s="22"/>
      <c r="YL51" s="22"/>
      <c r="YM51" s="22"/>
      <c r="YN51" s="22"/>
      <c r="YO51" s="22"/>
      <c r="YP51" s="22"/>
      <c r="YQ51" s="22"/>
      <c r="YR51" s="22"/>
      <c r="YS51" s="22"/>
      <c r="YT51" s="22"/>
      <c r="YU51" s="22"/>
      <c r="YV51" s="22"/>
      <c r="YW51" s="22"/>
      <c r="YX51" s="22"/>
      <c r="YY51" s="22"/>
      <c r="YZ51" s="22"/>
      <c r="ZA51" s="22"/>
      <c r="ZB51" s="22"/>
      <c r="ZC51" s="22"/>
      <c r="ZD51" s="22"/>
      <c r="ZE51" s="22"/>
      <c r="ZF51" s="22"/>
      <c r="ZG51" s="22"/>
      <c r="ZH51" s="22"/>
      <c r="ZI51" s="22"/>
      <c r="ZJ51" s="22"/>
      <c r="ZK51" s="22"/>
      <c r="ZL51" s="22"/>
      <c r="ZM51" s="22"/>
      <c r="ZN51" s="22"/>
      <c r="ZO51" s="22"/>
      <c r="ZP51" s="22"/>
      <c r="ZQ51" s="22"/>
      <c r="ZR51" s="22"/>
      <c r="ZS51" s="22"/>
      <c r="ZT51" s="22"/>
      <c r="ZU51" s="22"/>
      <c r="ZV51" s="22"/>
      <c r="ZW51" s="22"/>
      <c r="ZX51" s="22"/>
      <c r="ZY51" s="22"/>
      <c r="ZZ51" s="22"/>
      <c r="AAA51" s="22"/>
      <c r="AAB51" s="22"/>
      <c r="AAC51" s="22"/>
      <c r="AAD51" s="22"/>
      <c r="AAE51" s="22"/>
      <c r="AAF51" s="22"/>
      <c r="AAG51" s="22"/>
      <c r="AAH51" s="22"/>
      <c r="AAI51" s="22"/>
      <c r="AAJ51" s="22"/>
      <c r="AAK51" s="22"/>
      <c r="AAL51" s="22"/>
      <c r="AAM51" s="22"/>
      <c r="AAN51" s="22"/>
      <c r="AAO51" s="22"/>
      <c r="AAP51" s="22"/>
      <c r="AAQ51" s="22"/>
      <c r="AAR51" s="22"/>
      <c r="AAS51" s="22"/>
      <c r="AAT51" s="22"/>
      <c r="AAU51" s="22"/>
      <c r="AAV51" s="22"/>
      <c r="AAW51" s="22"/>
      <c r="AAX51" s="22"/>
      <c r="AAY51" s="22"/>
      <c r="AAZ51" s="22"/>
      <c r="ABA51" s="22"/>
      <c r="ABB51" s="22"/>
      <c r="ABC51" s="22"/>
    </row>
    <row r="52" spans="1:731" ht="15" customHeight="1" x14ac:dyDescent="0.3">
      <c r="A52" s="414"/>
      <c r="B52" s="423"/>
      <c r="C52" s="8"/>
      <c r="D52" s="27" t="s">
        <v>11</v>
      </c>
      <c r="E52" s="73" t="s">
        <v>67</v>
      </c>
      <c r="F52" s="15">
        <f t="shared" si="70"/>
        <v>0</v>
      </c>
      <c r="G52" s="16">
        <f t="shared" si="70"/>
        <v>0</v>
      </c>
      <c r="H52" s="52">
        <f t="shared" si="64"/>
        <v>0</v>
      </c>
      <c r="I52" s="14" t="str">
        <f t="shared" si="1"/>
        <v/>
      </c>
      <c r="J52" s="15"/>
      <c r="K52" s="74"/>
      <c r="L52" s="52">
        <f t="shared" si="65"/>
        <v>0</v>
      </c>
      <c r="M52" s="14" t="str">
        <f t="shared" si="21"/>
        <v/>
      </c>
      <c r="N52" s="15"/>
      <c r="O52" s="74"/>
      <c r="P52" s="52">
        <f t="shared" si="66"/>
        <v>0</v>
      </c>
      <c r="Q52" s="14" t="str">
        <f t="shared" si="2"/>
        <v/>
      </c>
      <c r="R52" s="57"/>
      <c r="S52" s="16"/>
      <c r="T52" s="52">
        <f t="shared" si="67"/>
        <v>0</v>
      </c>
      <c r="U52" s="14" t="str">
        <f t="shared" si="30"/>
        <v/>
      </c>
      <c r="V52" s="57"/>
      <c r="W52" s="16"/>
      <c r="X52" s="52">
        <f t="shared" si="68"/>
        <v>0</v>
      </c>
      <c r="Y52" s="14" t="str">
        <f t="shared" si="4"/>
        <v/>
      </c>
      <c r="Z52" s="15"/>
      <c r="AA52" s="74"/>
      <c r="AB52" s="52">
        <f t="shared" si="69"/>
        <v>0</v>
      </c>
      <c r="AC52" s="19" t="str">
        <f t="shared" si="5"/>
        <v/>
      </c>
      <c r="AD52" s="137"/>
      <c r="AE52" s="138"/>
      <c r="AF52" s="108">
        <f t="shared" si="6"/>
        <v>0</v>
      </c>
      <c r="AG52" s="110" t="str">
        <f t="shared" si="7"/>
        <v/>
      </c>
      <c r="AH52" s="142"/>
      <c r="AI52" s="127"/>
      <c r="AJ52" s="108">
        <f t="shared" si="8"/>
        <v>0</v>
      </c>
      <c r="AK52" s="20" t="str">
        <f t="shared" si="71"/>
        <v/>
      </c>
      <c r="AL52" s="143"/>
      <c r="AM52" s="136"/>
      <c r="AN52" s="13">
        <f t="shared" si="9"/>
        <v>0</v>
      </c>
      <c r="AO52" s="19" t="str">
        <f t="shared" si="10"/>
        <v/>
      </c>
      <c r="AP52" s="51" t="s">
        <v>136</v>
      </c>
      <c r="AQ52" s="22"/>
      <c r="AR52" s="1">
        <f t="shared" si="11"/>
        <v>0</v>
      </c>
      <c r="AS52" s="1">
        <f t="shared" si="12"/>
        <v>0</v>
      </c>
      <c r="AT52" s="1">
        <f t="shared" si="13"/>
        <v>0</v>
      </c>
      <c r="AU52" s="1">
        <f t="shared" si="14"/>
        <v>0</v>
      </c>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c r="HV52" s="22"/>
      <c r="HW52" s="22"/>
      <c r="HX52" s="22"/>
      <c r="HY52" s="22"/>
      <c r="HZ52" s="22"/>
      <c r="IA52" s="22"/>
      <c r="IB52" s="22"/>
      <c r="IC52" s="22"/>
      <c r="ID52" s="22"/>
      <c r="IE52" s="22"/>
      <c r="IF52" s="22"/>
      <c r="IG52" s="22"/>
      <c r="IH52" s="22"/>
      <c r="II52" s="22"/>
      <c r="IJ52" s="22"/>
      <c r="IK52" s="22"/>
      <c r="IL52" s="22"/>
      <c r="IM52" s="22"/>
      <c r="IN52" s="22"/>
      <c r="IO52" s="22"/>
      <c r="IP52" s="22"/>
      <c r="IQ52" s="22"/>
      <c r="IR52" s="22"/>
      <c r="IS52" s="22"/>
      <c r="IT52" s="22"/>
      <c r="IU52" s="22"/>
      <c r="IV52" s="22"/>
      <c r="IW52" s="22"/>
      <c r="IX52" s="22"/>
      <c r="IY52" s="22"/>
      <c r="IZ52" s="22"/>
      <c r="JA52" s="22"/>
      <c r="JB52" s="22"/>
      <c r="JC52" s="22"/>
      <c r="JD52" s="22"/>
      <c r="JE52" s="22"/>
      <c r="JJ52" s="22"/>
      <c r="JK52" s="22"/>
      <c r="JL52" s="22"/>
      <c r="JM52" s="22"/>
      <c r="JN52" s="22"/>
      <c r="JO52" s="22"/>
      <c r="JP52" s="22"/>
      <c r="JQ52" s="22"/>
      <c r="JR52" s="22"/>
      <c r="JS52" s="22"/>
      <c r="JT52" s="22"/>
      <c r="JU52" s="22"/>
      <c r="JV52" s="22"/>
      <c r="JW52" s="22"/>
      <c r="JX52" s="22"/>
      <c r="JY52" s="22"/>
      <c r="JZ52" s="22"/>
      <c r="KA52" s="22"/>
      <c r="KB52" s="22"/>
      <c r="KC52" s="22"/>
      <c r="KD52" s="22"/>
      <c r="KE52" s="22"/>
      <c r="KF52" s="22"/>
      <c r="KG52" s="22"/>
      <c r="KH52" s="22"/>
      <c r="KI52" s="22"/>
      <c r="KJ52" s="22"/>
      <c r="KK52" s="22"/>
      <c r="KL52" s="22"/>
      <c r="KM52" s="22"/>
      <c r="KN52" s="22"/>
      <c r="KO52" s="22"/>
      <c r="KP52" s="22"/>
      <c r="KQ52" s="22"/>
      <c r="KR52" s="22"/>
      <c r="KS52" s="22"/>
      <c r="KT52" s="22"/>
      <c r="KU52" s="22"/>
      <c r="KV52" s="22"/>
      <c r="KW52" s="22"/>
      <c r="KX52" s="22"/>
      <c r="KY52" s="22"/>
      <c r="KZ52" s="22"/>
      <c r="LA52" s="22"/>
      <c r="LB52" s="22"/>
      <c r="LC52" s="22"/>
      <c r="LD52" s="22"/>
      <c r="LE52" s="22"/>
      <c r="LF52" s="22"/>
      <c r="LG52" s="22"/>
      <c r="LH52" s="22"/>
      <c r="LI52" s="22"/>
      <c r="LJ52" s="22"/>
      <c r="LK52" s="22"/>
      <c r="LL52" s="22"/>
      <c r="LM52" s="22"/>
      <c r="LN52" s="22"/>
      <c r="LO52" s="22"/>
      <c r="LP52" s="22"/>
      <c r="LQ52" s="22"/>
      <c r="LR52" s="22"/>
      <c r="LS52" s="22"/>
      <c r="LT52" s="22"/>
      <c r="LU52" s="22"/>
      <c r="LV52" s="22"/>
      <c r="LW52" s="22"/>
      <c r="LX52" s="22"/>
      <c r="LY52" s="22"/>
      <c r="LZ52" s="22"/>
      <c r="MA52" s="22"/>
      <c r="MB52" s="22"/>
      <c r="MC52" s="22"/>
      <c r="MD52" s="22"/>
      <c r="ME52" s="22"/>
      <c r="MF52" s="22"/>
      <c r="MG52" s="22"/>
      <c r="MH52" s="22"/>
      <c r="MI52" s="22"/>
      <c r="MJ52" s="22"/>
      <c r="MK52" s="22"/>
      <c r="ML52" s="22"/>
      <c r="MM52" s="22"/>
      <c r="MN52" s="22"/>
      <c r="MO52" s="22"/>
      <c r="MP52" s="22"/>
      <c r="MQ52" s="22"/>
      <c r="MR52" s="22"/>
      <c r="MS52" s="22"/>
      <c r="MT52" s="22"/>
      <c r="MU52" s="22"/>
      <c r="MV52" s="22"/>
      <c r="MW52" s="22"/>
      <c r="MX52" s="22"/>
      <c r="MY52" s="22"/>
      <c r="MZ52" s="22"/>
      <c r="NA52" s="22"/>
      <c r="NB52" s="22"/>
      <c r="NC52" s="22"/>
      <c r="ND52" s="22"/>
      <c r="NE52" s="22"/>
      <c r="NF52" s="22"/>
      <c r="NG52" s="22"/>
      <c r="NH52" s="22"/>
      <c r="NI52" s="22"/>
      <c r="NJ52" s="22"/>
      <c r="NK52" s="22"/>
      <c r="NL52" s="22"/>
      <c r="NM52" s="22"/>
      <c r="NN52" s="22"/>
      <c r="NO52" s="22"/>
      <c r="NP52" s="22"/>
      <c r="NQ52" s="22"/>
      <c r="NR52" s="22"/>
      <c r="NS52" s="22"/>
      <c r="NT52" s="22"/>
      <c r="NU52" s="22"/>
      <c r="NV52" s="22"/>
      <c r="NW52" s="22"/>
      <c r="NX52" s="22"/>
      <c r="NY52" s="22"/>
      <c r="NZ52" s="22"/>
      <c r="OA52" s="22"/>
      <c r="OB52" s="22"/>
      <c r="OC52" s="22"/>
      <c r="OD52" s="22"/>
      <c r="OE52" s="22"/>
      <c r="OF52" s="22"/>
      <c r="OG52" s="22"/>
      <c r="OH52" s="22"/>
      <c r="OI52" s="22"/>
      <c r="OJ52" s="22"/>
      <c r="OK52" s="22"/>
      <c r="OL52" s="22"/>
      <c r="OM52" s="22"/>
      <c r="ON52" s="22"/>
      <c r="OO52" s="22"/>
      <c r="OP52" s="22"/>
      <c r="OQ52" s="22"/>
      <c r="OR52" s="22"/>
      <c r="OS52" s="22"/>
      <c r="OT52" s="22"/>
      <c r="OU52" s="22"/>
      <c r="OV52" s="22"/>
      <c r="OW52" s="22"/>
      <c r="OX52" s="22"/>
      <c r="OY52" s="22"/>
      <c r="OZ52" s="22"/>
      <c r="PA52" s="22"/>
      <c r="PB52" s="22"/>
      <c r="PC52" s="22"/>
      <c r="PD52" s="22"/>
      <c r="PE52" s="22"/>
      <c r="PF52" s="22"/>
      <c r="PG52" s="22"/>
      <c r="PH52" s="22"/>
      <c r="PI52" s="22"/>
      <c r="PJ52" s="22"/>
      <c r="PK52" s="22"/>
      <c r="PL52" s="22"/>
      <c r="PM52" s="22"/>
      <c r="PN52" s="22"/>
      <c r="PO52" s="22"/>
      <c r="PP52" s="22"/>
      <c r="PQ52" s="22"/>
      <c r="PR52" s="22"/>
      <c r="PS52" s="22"/>
      <c r="PT52" s="22"/>
      <c r="PU52" s="22"/>
      <c r="PV52" s="22"/>
      <c r="PW52" s="22"/>
      <c r="PX52" s="22"/>
      <c r="PY52" s="22"/>
      <c r="PZ52" s="22"/>
      <c r="QA52" s="22"/>
      <c r="QB52" s="22"/>
      <c r="QC52" s="22"/>
      <c r="QD52" s="22"/>
      <c r="QE52" s="22"/>
      <c r="QF52" s="22"/>
      <c r="QG52" s="22"/>
      <c r="QH52" s="22"/>
      <c r="QI52" s="22"/>
      <c r="QJ52" s="22"/>
      <c r="QK52" s="22"/>
      <c r="QL52" s="22"/>
      <c r="QM52" s="22"/>
      <c r="QN52" s="22"/>
      <c r="QO52" s="22"/>
      <c r="QP52" s="22"/>
      <c r="QQ52" s="22"/>
      <c r="QR52" s="22"/>
      <c r="QS52" s="22"/>
      <c r="QT52" s="22"/>
      <c r="QU52" s="22"/>
      <c r="QV52" s="22"/>
      <c r="QW52" s="22"/>
      <c r="QX52" s="22"/>
      <c r="QY52" s="22"/>
      <c r="QZ52" s="22"/>
      <c r="RA52" s="22"/>
      <c r="RB52" s="22"/>
      <c r="RC52" s="22"/>
      <c r="RD52" s="22"/>
      <c r="RE52" s="22"/>
      <c r="RF52" s="22"/>
      <c r="RG52" s="22"/>
      <c r="RH52" s="22"/>
      <c r="RI52" s="22"/>
      <c r="RJ52" s="22"/>
      <c r="RK52" s="22"/>
      <c r="RL52" s="22"/>
      <c r="RM52" s="22"/>
      <c r="RN52" s="22"/>
      <c r="RO52" s="22"/>
      <c r="RP52" s="22"/>
      <c r="RQ52" s="22"/>
      <c r="RR52" s="22"/>
      <c r="RS52" s="22"/>
      <c r="RT52" s="22"/>
      <c r="RU52" s="22"/>
      <c r="RV52" s="22"/>
      <c r="RW52" s="22"/>
      <c r="RX52" s="22"/>
      <c r="RY52" s="22"/>
      <c r="RZ52" s="22"/>
      <c r="SA52" s="22"/>
      <c r="SB52" s="22"/>
      <c r="SC52" s="22"/>
      <c r="SD52" s="22"/>
      <c r="SE52" s="22"/>
      <c r="SF52" s="22"/>
      <c r="SG52" s="22"/>
      <c r="SH52" s="22"/>
      <c r="SI52" s="22"/>
      <c r="SJ52" s="22"/>
      <c r="SK52" s="22"/>
      <c r="SL52" s="22"/>
      <c r="SM52" s="22"/>
      <c r="SN52" s="22"/>
      <c r="SO52" s="22"/>
      <c r="SP52" s="22"/>
      <c r="SQ52" s="22"/>
      <c r="SR52" s="22"/>
      <c r="SS52" s="22"/>
      <c r="ST52" s="22"/>
      <c r="SU52" s="22"/>
      <c r="SV52" s="22"/>
      <c r="SW52" s="22"/>
      <c r="SX52" s="22"/>
      <c r="SY52" s="22"/>
      <c r="SZ52" s="22"/>
      <c r="TA52" s="22"/>
      <c r="TB52" s="22"/>
      <c r="TC52" s="22"/>
      <c r="TD52" s="22"/>
      <c r="TE52" s="22"/>
      <c r="TF52" s="22"/>
      <c r="TG52" s="22"/>
      <c r="TH52" s="22"/>
      <c r="TI52" s="22"/>
      <c r="TJ52" s="22"/>
      <c r="TK52" s="22"/>
      <c r="TL52" s="22"/>
      <c r="TM52" s="22"/>
      <c r="TN52" s="22"/>
      <c r="TO52" s="22"/>
      <c r="TP52" s="22"/>
      <c r="TQ52" s="22"/>
      <c r="TR52" s="22"/>
      <c r="TS52" s="22"/>
      <c r="TT52" s="22"/>
      <c r="TU52" s="22"/>
      <c r="TV52" s="22"/>
      <c r="TW52" s="22"/>
      <c r="TX52" s="22"/>
      <c r="TY52" s="22"/>
      <c r="TZ52" s="22"/>
      <c r="UA52" s="22"/>
      <c r="UB52" s="22"/>
      <c r="UC52" s="22"/>
      <c r="UD52" s="22"/>
      <c r="UE52" s="22"/>
      <c r="UF52" s="22"/>
      <c r="UG52" s="22"/>
      <c r="UH52" s="22"/>
      <c r="UI52" s="22"/>
      <c r="UJ52" s="22"/>
      <c r="UK52" s="22"/>
      <c r="UL52" s="22"/>
      <c r="UM52" s="22"/>
      <c r="UN52" s="22"/>
      <c r="UO52" s="22"/>
      <c r="UP52" s="22"/>
      <c r="UQ52" s="22"/>
      <c r="UR52" s="22"/>
      <c r="US52" s="22"/>
      <c r="UT52" s="22"/>
      <c r="UU52" s="22"/>
      <c r="UV52" s="22"/>
      <c r="UW52" s="22"/>
      <c r="UX52" s="22"/>
      <c r="UY52" s="22"/>
      <c r="UZ52" s="22"/>
      <c r="VA52" s="22"/>
      <c r="VB52" s="22"/>
      <c r="VC52" s="22"/>
      <c r="VD52" s="22"/>
      <c r="VE52" s="22"/>
      <c r="VF52" s="22"/>
      <c r="VG52" s="22"/>
      <c r="VH52" s="22"/>
      <c r="VI52" s="22"/>
      <c r="VJ52" s="22"/>
      <c r="VK52" s="22"/>
      <c r="VL52" s="22"/>
      <c r="VM52" s="22"/>
      <c r="VN52" s="22"/>
      <c r="VO52" s="22"/>
      <c r="VP52" s="22"/>
      <c r="VQ52" s="22"/>
      <c r="VR52" s="22"/>
      <c r="VS52" s="22"/>
      <c r="VT52" s="22"/>
      <c r="VU52" s="22"/>
      <c r="VV52" s="22"/>
      <c r="VW52" s="22"/>
      <c r="VX52" s="22"/>
      <c r="VY52" s="22"/>
      <c r="VZ52" s="22"/>
      <c r="WA52" s="22"/>
      <c r="WB52" s="22"/>
      <c r="WC52" s="22"/>
      <c r="WD52" s="22"/>
      <c r="WE52" s="22"/>
      <c r="WF52" s="22"/>
      <c r="WG52" s="22"/>
      <c r="WH52" s="22"/>
      <c r="WI52" s="22"/>
      <c r="WJ52" s="22"/>
      <c r="WK52" s="22"/>
      <c r="WL52" s="22"/>
      <c r="WM52" s="22"/>
      <c r="WN52" s="22"/>
      <c r="WO52" s="22"/>
      <c r="WP52" s="22"/>
      <c r="WQ52" s="22"/>
      <c r="WR52" s="22"/>
      <c r="WS52" s="22"/>
      <c r="WT52" s="22"/>
      <c r="WU52" s="22"/>
      <c r="WV52" s="22"/>
      <c r="WW52" s="22"/>
      <c r="WX52" s="22"/>
      <c r="WY52" s="22"/>
      <c r="WZ52" s="22"/>
      <c r="XA52" s="22"/>
      <c r="XB52" s="22"/>
      <c r="XC52" s="22"/>
      <c r="XD52" s="22"/>
      <c r="XE52" s="22"/>
      <c r="XF52" s="22"/>
      <c r="XG52" s="22"/>
      <c r="XH52" s="22"/>
      <c r="XI52" s="22"/>
      <c r="XJ52" s="22"/>
      <c r="XK52" s="22"/>
      <c r="XL52" s="22"/>
      <c r="XM52" s="22"/>
      <c r="XN52" s="22"/>
      <c r="XO52" s="22"/>
      <c r="XP52" s="22"/>
      <c r="XQ52" s="22"/>
      <c r="XR52" s="22"/>
      <c r="XS52" s="22"/>
      <c r="XT52" s="22"/>
      <c r="XU52" s="22"/>
      <c r="XV52" s="22"/>
      <c r="XW52" s="22"/>
      <c r="XX52" s="22"/>
      <c r="XY52" s="22"/>
      <c r="XZ52" s="22"/>
      <c r="YA52" s="22"/>
      <c r="YB52" s="22"/>
      <c r="YC52" s="22"/>
      <c r="YD52" s="22"/>
      <c r="YE52" s="22"/>
      <c r="YF52" s="22"/>
      <c r="YG52" s="22"/>
      <c r="YH52" s="22"/>
      <c r="YI52" s="22"/>
      <c r="YJ52" s="22"/>
      <c r="YK52" s="22"/>
      <c r="YL52" s="22"/>
      <c r="YM52" s="22"/>
      <c r="YN52" s="22"/>
      <c r="YO52" s="22"/>
      <c r="YP52" s="22"/>
      <c r="YQ52" s="22"/>
      <c r="YR52" s="22"/>
      <c r="YS52" s="22"/>
      <c r="YT52" s="22"/>
      <c r="YU52" s="22"/>
      <c r="YV52" s="22"/>
      <c r="YW52" s="22"/>
      <c r="YX52" s="22"/>
      <c r="YY52" s="22"/>
      <c r="YZ52" s="22"/>
      <c r="ZA52" s="22"/>
      <c r="ZB52" s="22"/>
      <c r="ZC52" s="22"/>
      <c r="ZD52" s="22"/>
      <c r="ZE52" s="22"/>
      <c r="ZF52" s="22"/>
      <c r="ZG52" s="22"/>
      <c r="ZH52" s="22"/>
      <c r="ZI52" s="22"/>
      <c r="ZJ52" s="22"/>
      <c r="ZK52" s="22"/>
      <c r="ZL52" s="22"/>
      <c r="ZM52" s="22"/>
      <c r="ZN52" s="22"/>
      <c r="ZO52" s="22"/>
      <c r="ZP52" s="22"/>
      <c r="ZQ52" s="22"/>
      <c r="ZR52" s="22"/>
      <c r="ZS52" s="22"/>
      <c r="ZT52" s="22"/>
      <c r="ZU52" s="22"/>
      <c r="ZV52" s="22"/>
      <c r="ZW52" s="22"/>
      <c r="ZX52" s="22"/>
      <c r="ZY52" s="22"/>
      <c r="ZZ52" s="22"/>
      <c r="AAA52" s="22"/>
      <c r="AAB52" s="22"/>
      <c r="AAC52" s="22"/>
      <c r="AAD52" s="22"/>
      <c r="AAE52" s="22"/>
      <c r="AAF52" s="22"/>
      <c r="AAG52" s="22"/>
      <c r="AAH52" s="22"/>
      <c r="AAI52" s="22"/>
      <c r="AAJ52" s="22"/>
      <c r="AAK52" s="22"/>
      <c r="AAL52" s="22"/>
      <c r="AAM52" s="22"/>
      <c r="AAN52" s="22"/>
      <c r="AAO52" s="22"/>
      <c r="AAP52" s="22"/>
      <c r="AAQ52" s="22"/>
      <c r="AAR52" s="22"/>
      <c r="AAS52" s="22"/>
      <c r="AAT52" s="22"/>
      <c r="AAU52" s="22"/>
      <c r="AAV52" s="22"/>
      <c r="AAW52" s="22"/>
      <c r="AAX52" s="22"/>
      <c r="AAY52" s="22"/>
      <c r="AAZ52" s="22"/>
      <c r="ABA52" s="22"/>
      <c r="ABB52" s="22"/>
      <c r="ABC52" s="22"/>
    </row>
    <row r="53" spans="1:731" ht="15" customHeight="1" x14ac:dyDescent="0.3">
      <c r="A53" s="414"/>
      <c r="B53" s="423"/>
      <c r="C53" s="8"/>
      <c r="D53" s="27" t="s">
        <v>11</v>
      </c>
      <c r="E53" s="73" t="s">
        <v>68</v>
      </c>
      <c r="F53" s="15">
        <f t="shared" si="70"/>
        <v>0</v>
      </c>
      <c r="G53" s="16">
        <f t="shared" si="70"/>
        <v>0</v>
      </c>
      <c r="H53" s="52">
        <f t="shared" si="64"/>
        <v>0</v>
      </c>
      <c r="I53" s="14" t="str">
        <f t="shared" si="1"/>
        <v/>
      </c>
      <c r="J53" s="15"/>
      <c r="K53" s="74"/>
      <c r="L53" s="52">
        <f t="shared" si="65"/>
        <v>0</v>
      </c>
      <c r="M53" s="14" t="str">
        <f t="shared" si="21"/>
        <v/>
      </c>
      <c r="N53" s="15"/>
      <c r="O53" s="74"/>
      <c r="P53" s="52">
        <f t="shared" si="66"/>
        <v>0</v>
      </c>
      <c r="Q53" s="14" t="str">
        <f t="shared" si="2"/>
        <v/>
      </c>
      <c r="R53" s="57"/>
      <c r="S53" s="16"/>
      <c r="T53" s="52">
        <f t="shared" si="67"/>
        <v>0</v>
      </c>
      <c r="U53" s="14" t="str">
        <f t="shared" si="30"/>
        <v/>
      </c>
      <c r="V53" s="57"/>
      <c r="W53" s="16"/>
      <c r="X53" s="52">
        <f t="shared" si="68"/>
        <v>0</v>
      </c>
      <c r="Y53" s="14" t="str">
        <f t="shared" si="4"/>
        <v/>
      </c>
      <c r="Z53" s="15"/>
      <c r="AA53" s="74"/>
      <c r="AB53" s="52">
        <f t="shared" si="69"/>
        <v>0</v>
      </c>
      <c r="AC53" s="19" t="str">
        <f t="shared" si="5"/>
        <v/>
      </c>
      <c r="AD53" s="137"/>
      <c r="AE53" s="138"/>
      <c r="AF53" s="108">
        <f t="shared" si="6"/>
        <v>0</v>
      </c>
      <c r="AG53" s="110" t="str">
        <f t="shared" si="7"/>
        <v/>
      </c>
      <c r="AH53" s="142"/>
      <c r="AI53" s="127"/>
      <c r="AJ53" s="108">
        <f t="shared" si="8"/>
        <v>0</v>
      </c>
      <c r="AK53" s="20" t="str">
        <f t="shared" si="71"/>
        <v/>
      </c>
      <c r="AL53" s="143"/>
      <c r="AM53" s="136"/>
      <c r="AN53" s="13">
        <f t="shared" si="9"/>
        <v>0</v>
      </c>
      <c r="AO53" s="19" t="str">
        <f t="shared" si="10"/>
        <v/>
      </c>
      <c r="AP53" s="51" t="s">
        <v>136</v>
      </c>
      <c r="AQ53" s="22"/>
      <c r="AR53" s="1">
        <f t="shared" si="11"/>
        <v>0</v>
      </c>
      <c r="AS53" s="1">
        <f t="shared" si="12"/>
        <v>0</v>
      </c>
      <c r="AT53" s="1">
        <f t="shared" si="13"/>
        <v>0</v>
      </c>
      <c r="AU53" s="1">
        <f t="shared" si="14"/>
        <v>0</v>
      </c>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c r="GR53" s="22"/>
      <c r="GS53" s="22"/>
      <c r="GT53" s="22"/>
      <c r="GU53" s="22"/>
      <c r="GV53" s="22"/>
      <c r="GW53" s="22"/>
      <c r="GX53" s="22"/>
      <c r="GY53" s="22"/>
      <c r="GZ53" s="22"/>
      <c r="HA53" s="22"/>
      <c r="HB53" s="22"/>
      <c r="HC53" s="22"/>
      <c r="HD53" s="22"/>
      <c r="HE53" s="22"/>
      <c r="HF53" s="22"/>
      <c r="HG53" s="22"/>
      <c r="HH53" s="22"/>
      <c r="HI53" s="22"/>
      <c r="HJ53" s="22"/>
      <c r="HK53" s="22"/>
      <c r="HL53" s="22"/>
      <c r="HM53" s="22"/>
      <c r="HN53" s="22"/>
      <c r="HO53" s="22"/>
      <c r="HP53" s="22"/>
      <c r="HQ53" s="22"/>
      <c r="HR53" s="22"/>
      <c r="HS53" s="22"/>
      <c r="HT53" s="22"/>
      <c r="HU53" s="22"/>
      <c r="HV53" s="22"/>
      <c r="HW53" s="22"/>
      <c r="HX53" s="22"/>
      <c r="HY53" s="22"/>
      <c r="HZ53" s="22"/>
      <c r="IA53" s="22"/>
      <c r="IB53" s="22"/>
      <c r="IC53" s="22"/>
      <c r="ID53" s="22"/>
      <c r="IE53" s="22"/>
      <c r="IF53" s="22"/>
      <c r="IG53" s="22"/>
      <c r="IH53" s="22"/>
      <c r="II53" s="22"/>
      <c r="IJ53" s="22"/>
      <c r="IK53" s="22"/>
      <c r="IL53" s="22"/>
      <c r="IM53" s="22"/>
      <c r="IN53" s="22"/>
      <c r="IO53" s="22"/>
      <c r="IP53" s="22"/>
      <c r="IQ53" s="22"/>
      <c r="IR53" s="22"/>
      <c r="IS53" s="22"/>
      <c r="IT53" s="22"/>
      <c r="IU53" s="22"/>
      <c r="IV53" s="22"/>
      <c r="IW53" s="22"/>
      <c r="IX53" s="22"/>
      <c r="IY53" s="22"/>
      <c r="IZ53" s="22"/>
      <c r="JA53" s="22"/>
      <c r="JB53" s="22"/>
      <c r="JC53" s="22"/>
      <c r="JD53" s="22"/>
      <c r="JE53" s="22"/>
      <c r="JJ53" s="22"/>
      <c r="JK53" s="22"/>
      <c r="JL53" s="22"/>
      <c r="JM53" s="22"/>
      <c r="JN53" s="22"/>
      <c r="JO53" s="22"/>
      <c r="JP53" s="22"/>
      <c r="JQ53" s="22"/>
      <c r="JR53" s="22"/>
      <c r="JS53" s="22"/>
      <c r="JT53" s="22"/>
      <c r="JU53" s="22"/>
      <c r="JV53" s="22"/>
      <c r="JW53" s="22"/>
      <c r="JX53" s="22"/>
      <c r="JY53" s="22"/>
      <c r="JZ53" s="22"/>
      <c r="KA53" s="22"/>
      <c r="KB53" s="22"/>
      <c r="KC53" s="22"/>
      <c r="KD53" s="22"/>
      <c r="KE53" s="22"/>
      <c r="KF53" s="22"/>
      <c r="KG53" s="22"/>
      <c r="KH53" s="22"/>
      <c r="KI53" s="22"/>
      <c r="KJ53" s="22"/>
      <c r="KK53" s="22"/>
      <c r="KL53" s="22"/>
      <c r="KM53" s="22"/>
      <c r="KN53" s="22"/>
      <c r="KO53" s="22"/>
      <c r="KP53" s="22"/>
      <c r="KQ53" s="22"/>
      <c r="KR53" s="22"/>
      <c r="KS53" s="22"/>
      <c r="KT53" s="22"/>
      <c r="KU53" s="22"/>
      <c r="KV53" s="22"/>
      <c r="KW53" s="22"/>
      <c r="KX53" s="22"/>
      <c r="KY53" s="22"/>
      <c r="KZ53" s="22"/>
      <c r="LA53" s="22"/>
      <c r="LB53" s="22"/>
      <c r="LC53" s="22"/>
      <c r="LD53" s="22"/>
      <c r="LE53" s="22"/>
      <c r="LF53" s="22"/>
      <c r="LG53" s="22"/>
      <c r="LH53" s="22"/>
      <c r="LI53" s="22"/>
      <c r="LJ53" s="22"/>
      <c r="LK53" s="22"/>
      <c r="LL53" s="22"/>
      <c r="LM53" s="22"/>
      <c r="LN53" s="22"/>
      <c r="LO53" s="22"/>
      <c r="LP53" s="22"/>
      <c r="LQ53" s="22"/>
      <c r="LR53" s="22"/>
      <c r="LS53" s="22"/>
      <c r="LT53" s="22"/>
      <c r="LU53" s="22"/>
      <c r="LV53" s="22"/>
      <c r="LW53" s="22"/>
      <c r="LX53" s="22"/>
      <c r="LY53" s="22"/>
      <c r="LZ53" s="22"/>
      <c r="MA53" s="22"/>
      <c r="MB53" s="22"/>
      <c r="MC53" s="22"/>
      <c r="MD53" s="22"/>
      <c r="ME53" s="22"/>
      <c r="MF53" s="22"/>
      <c r="MG53" s="22"/>
      <c r="MH53" s="22"/>
      <c r="MI53" s="22"/>
      <c r="MJ53" s="22"/>
      <c r="MK53" s="22"/>
      <c r="ML53" s="22"/>
      <c r="MM53" s="22"/>
      <c r="MN53" s="22"/>
      <c r="MO53" s="22"/>
      <c r="MP53" s="22"/>
      <c r="MQ53" s="22"/>
      <c r="MR53" s="22"/>
      <c r="MS53" s="22"/>
      <c r="MT53" s="22"/>
      <c r="MU53" s="22"/>
      <c r="MV53" s="22"/>
      <c r="MW53" s="22"/>
      <c r="MX53" s="22"/>
      <c r="MY53" s="22"/>
      <c r="MZ53" s="22"/>
      <c r="NA53" s="22"/>
      <c r="NB53" s="22"/>
      <c r="NC53" s="22"/>
      <c r="ND53" s="22"/>
      <c r="NE53" s="22"/>
      <c r="NF53" s="22"/>
      <c r="NG53" s="22"/>
      <c r="NH53" s="22"/>
      <c r="NI53" s="22"/>
      <c r="NJ53" s="22"/>
      <c r="NK53" s="22"/>
      <c r="NL53" s="22"/>
      <c r="NM53" s="22"/>
      <c r="NN53" s="22"/>
      <c r="NO53" s="22"/>
      <c r="NP53" s="22"/>
      <c r="NQ53" s="22"/>
      <c r="NR53" s="22"/>
      <c r="NS53" s="22"/>
      <c r="NT53" s="22"/>
      <c r="NU53" s="22"/>
      <c r="NV53" s="22"/>
      <c r="NW53" s="22"/>
      <c r="NX53" s="22"/>
      <c r="NY53" s="22"/>
      <c r="NZ53" s="22"/>
      <c r="OA53" s="22"/>
      <c r="OB53" s="22"/>
      <c r="OC53" s="22"/>
      <c r="OD53" s="22"/>
      <c r="OE53" s="22"/>
      <c r="OF53" s="22"/>
      <c r="OG53" s="22"/>
      <c r="OH53" s="22"/>
      <c r="OI53" s="22"/>
      <c r="OJ53" s="22"/>
      <c r="OK53" s="22"/>
      <c r="OL53" s="22"/>
      <c r="OM53" s="22"/>
      <c r="ON53" s="22"/>
      <c r="OO53" s="22"/>
      <c r="OP53" s="22"/>
      <c r="OQ53" s="22"/>
      <c r="OR53" s="22"/>
      <c r="OS53" s="22"/>
      <c r="OT53" s="22"/>
      <c r="OU53" s="22"/>
      <c r="OV53" s="22"/>
      <c r="OW53" s="22"/>
      <c r="OX53" s="22"/>
      <c r="OY53" s="22"/>
      <c r="OZ53" s="22"/>
      <c r="PA53" s="22"/>
      <c r="PB53" s="22"/>
      <c r="PC53" s="22"/>
      <c r="PD53" s="22"/>
      <c r="PE53" s="22"/>
      <c r="PF53" s="22"/>
      <c r="PG53" s="22"/>
      <c r="PH53" s="22"/>
      <c r="PI53" s="22"/>
      <c r="PJ53" s="22"/>
      <c r="PK53" s="22"/>
      <c r="PL53" s="22"/>
      <c r="PM53" s="22"/>
      <c r="PN53" s="22"/>
      <c r="PO53" s="22"/>
      <c r="PP53" s="22"/>
      <c r="PQ53" s="22"/>
      <c r="PR53" s="22"/>
      <c r="PS53" s="22"/>
      <c r="PT53" s="22"/>
      <c r="PU53" s="22"/>
      <c r="PV53" s="22"/>
      <c r="PW53" s="22"/>
      <c r="PX53" s="22"/>
      <c r="PY53" s="22"/>
      <c r="PZ53" s="22"/>
      <c r="QA53" s="22"/>
      <c r="QB53" s="22"/>
      <c r="QC53" s="22"/>
      <c r="QD53" s="22"/>
      <c r="QE53" s="22"/>
      <c r="QF53" s="22"/>
      <c r="QG53" s="22"/>
      <c r="QH53" s="22"/>
      <c r="QI53" s="22"/>
      <c r="QJ53" s="22"/>
      <c r="QK53" s="22"/>
      <c r="QL53" s="22"/>
      <c r="QM53" s="22"/>
      <c r="QN53" s="22"/>
      <c r="QO53" s="22"/>
      <c r="QP53" s="22"/>
      <c r="QQ53" s="22"/>
      <c r="QR53" s="22"/>
      <c r="QS53" s="22"/>
      <c r="QT53" s="22"/>
      <c r="QU53" s="22"/>
      <c r="QV53" s="22"/>
      <c r="QW53" s="22"/>
      <c r="QX53" s="22"/>
      <c r="QY53" s="22"/>
      <c r="QZ53" s="22"/>
      <c r="RA53" s="22"/>
      <c r="RB53" s="22"/>
      <c r="RC53" s="22"/>
      <c r="RD53" s="22"/>
      <c r="RE53" s="22"/>
      <c r="RF53" s="22"/>
      <c r="RG53" s="22"/>
      <c r="RH53" s="22"/>
      <c r="RI53" s="22"/>
      <c r="RJ53" s="22"/>
      <c r="RK53" s="22"/>
      <c r="RL53" s="22"/>
      <c r="RM53" s="22"/>
      <c r="RN53" s="22"/>
      <c r="RO53" s="22"/>
      <c r="RP53" s="22"/>
      <c r="RQ53" s="22"/>
      <c r="RR53" s="22"/>
      <c r="RS53" s="22"/>
      <c r="RT53" s="22"/>
      <c r="RU53" s="22"/>
      <c r="RV53" s="22"/>
      <c r="RW53" s="22"/>
      <c r="RX53" s="22"/>
      <c r="RY53" s="22"/>
      <c r="RZ53" s="22"/>
      <c r="SA53" s="22"/>
      <c r="SB53" s="22"/>
      <c r="SC53" s="22"/>
      <c r="SD53" s="22"/>
      <c r="SE53" s="22"/>
      <c r="SF53" s="22"/>
      <c r="SG53" s="22"/>
      <c r="SH53" s="22"/>
      <c r="SI53" s="22"/>
      <c r="SJ53" s="22"/>
      <c r="SK53" s="22"/>
      <c r="SL53" s="22"/>
      <c r="SM53" s="22"/>
      <c r="SN53" s="22"/>
      <c r="SO53" s="22"/>
      <c r="SP53" s="22"/>
      <c r="SQ53" s="22"/>
      <c r="SR53" s="22"/>
      <c r="SS53" s="22"/>
      <c r="ST53" s="22"/>
      <c r="SU53" s="22"/>
      <c r="SV53" s="22"/>
      <c r="SW53" s="22"/>
      <c r="SX53" s="22"/>
      <c r="SY53" s="22"/>
      <c r="SZ53" s="22"/>
      <c r="TA53" s="22"/>
      <c r="TB53" s="22"/>
      <c r="TC53" s="22"/>
      <c r="TD53" s="22"/>
      <c r="TE53" s="22"/>
      <c r="TF53" s="22"/>
      <c r="TG53" s="22"/>
      <c r="TH53" s="22"/>
      <c r="TI53" s="22"/>
      <c r="TJ53" s="22"/>
      <c r="TK53" s="22"/>
      <c r="TL53" s="22"/>
      <c r="TM53" s="22"/>
      <c r="TN53" s="22"/>
      <c r="TO53" s="22"/>
      <c r="TP53" s="22"/>
      <c r="TQ53" s="22"/>
      <c r="TR53" s="22"/>
      <c r="TS53" s="22"/>
      <c r="TT53" s="22"/>
      <c r="TU53" s="22"/>
      <c r="TV53" s="22"/>
      <c r="TW53" s="22"/>
      <c r="TX53" s="22"/>
      <c r="TY53" s="22"/>
      <c r="TZ53" s="22"/>
      <c r="UA53" s="22"/>
      <c r="UB53" s="22"/>
      <c r="UC53" s="22"/>
      <c r="UD53" s="22"/>
      <c r="UE53" s="22"/>
      <c r="UF53" s="22"/>
      <c r="UG53" s="22"/>
      <c r="UH53" s="22"/>
      <c r="UI53" s="22"/>
      <c r="UJ53" s="22"/>
      <c r="UK53" s="22"/>
      <c r="UL53" s="22"/>
      <c r="UM53" s="22"/>
      <c r="UN53" s="22"/>
      <c r="UO53" s="22"/>
      <c r="UP53" s="22"/>
      <c r="UQ53" s="22"/>
      <c r="UR53" s="22"/>
      <c r="US53" s="22"/>
      <c r="UT53" s="22"/>
      <c r="UU53" s="22"/>
      <c r="UV53" s="22"/>
      <c r="UW53" s="22"/>
      <c r="UX53" s="22"/>
      <c r="UY53" s="22"/>
      <c r="UZ53" s="22"/>
      <c r="VA53" s="22"/>
      <c r="VB53" s="22"/>
      <c r="VC53" s="22"/>
      <c r="VD53" s="22"/>
      <c r="VE53" s="22"/>
      <c r="VF53" s="22"/>
      <c r="VG53" s="22"/>
      <c r="VH53" s="22"/>
      <c r="VI53" s="22"/>
      <c r="VJ53" s="22"/>
      <c r="VK53" s="22"/>
      <c r="VL53" s="22"/>
      <c r="VM53" s="22"/>
      <c r="VN53" s="22"/>
      <c r="VO53" s="22"/>
      <c r="VP53" s="22"/>
      <c r="VQ53" s="22"/>
      <c r="VR53" s="22"/>
      <c r="VS53" s="22"/>
      <c r="VT53" s="22"/>
      <c r="VU53" s="22"/>
      <c r="VV53" s="22"/>
      <c r="VW53" s="22"/>
      <c r="VX53" s="22"/>
      <c r="VY53" s="22"/>
      <c r="VZ53" s="22"/>
      <c r="WA53" s="22"/>
      <c r="WB53" s="22"/>
      <c r="WC53" s="22"/>
      <c r="WD53" s="22"/>
      <c r="WE53" s="22"/>
      <c r="WF53" s="22"/>
      <c r="WG53" s="22"/>
      <c r="WH53" s="22"/>
      <c r="WI53" s="22"/>
      <c r="WJ53" s="22"/>
      <c r="WK53" s="22"/>
      <c r="WL53" s="22"/>
      <c r="WM53" s="22"/>
      <c r="WN53" s="22"/>
      <c r="WO53" s="22"/>
      <c r="WP53" s="22"/>
      <c r="WQ53" s="22"/>
      <c r="WR53" s="22"/>
      <c r="WS53" s="22"/>
      <c r="WT53" s="22"/>
      <c r="WU53" s="22"/>
      <c r="WV53" s="22"/>
      <c r="WW53" s="22"/>
      <c r="WX53" s="22"/>
      <c r="WY53" s="22"/>
      <c r="WZ53" s="22"/>
      <c r="XA53" s="22"/>
      <c r="XB53" s="22"/>
      <c r="XC53" s="22"/>
      <c r="XD53" s="22"/>
      <c r="XE53" s="22"/>
      <c r="XF53" s="22"/>
      <c r="XG53" s="22"/>
      <c r="XH53" s="22"/>
      <c r="XI53" s="22"/>
      <c r="XJ53" s="22"/>
      <c r="XK53" s="22"/>
      <c r="XL53" s="22"/>
      <c r="XM53" s="22"/>
      <c r="XN53" s="22"/>
      <c r="XO53" s="22"/>
      <c r="XP53" s="22"/>
      <c r="XQ53" s="22"/>
      <c r="XR53" s="22"/>
      <c r="XS53" s="22"/>
      <c r="XT53" s="22"/>
      <c r="XU53" s="22"/>
      <c r="XV53" s="22"/>
      <c r="XW53" s="22"/>
      <c r="XX53" s="22"/>
      <c r="XY53" s="22"/>
      <c r="XZ53" s="22"/>
      <c r="YA53" s="22"/>
      <c r="YB53" s="22"/>
      <c r="YC53" s="22"/>
      <c r="YD53" s="22"/>
      <c r="YE53" s="22"/>
      <c r="YF53" s="22"/>
      <c r="YG53" s="22"/>
      <c r="YH53" s="22"/>
      <c r="YI53" s="22"/>
      <c r="YJ53" s="22"/>
      <c r="YK53" s="22"/>
      <c r="YL53" s="22"/>
      <c r="YM53" s="22"/>
      <c r="YN53" s="22"/>
      <c r="YO53" s="22"/>
      <c r="YP53" s="22"/>
      <c r="YQ53" s="22"/>
      <c r="YR53" s="22"/>
      <c r="YS53" s="22"/>
      <c r="YT53" s="22"/>
      <c r="YU53" s="22"/>
      <c r="YV53" s="22"/>
      <c r="YW53" s="22"/>
      <c r="YX53" s="22"/>
      <c r="YY53" s="22"/>
      <c r="YZ53" s="22"/>
      <c r="ZA53" s="22"/>
      <c r="ZB53" s="22"/>
      <c r="ZC53" s="22"/>
      <c r="ZD53" s="22"/>
      <c r="ZE53" s="22"/>
      <c r="ZF53" s="22"/>
      <c r="ZG53" s="22"/>
      <c r="ZH53" s="22"/>
      <c r="ZI53" s="22"/>
      <c r="ZJ53" s="22"/>
      <c r="ZK53" s="22"/>
      <c r="ZL53" s="22"/>
      <c r="ZM53" s="22"/>
      <c r="ZN53" s="22"/>
      <c r="ZO53" s="22"/>
      <c r="ZP53" s="22"/>
      <c r="ZQ53" s="22"/>
      <c r="ZR53" s="22"/>
      <c r="ZS53" s="22"/>
      <c r="ZT53" s="22"/>
      <c r="ZU53" s="22"/>
      <c r="ZV53" s="22"/>
      <c r="ZW53" s="22"/>
      <c r="ZX53" s="22"/>
      <c r="ZY53" s="22"/>
      <c r="ZZ53" s="22"/>
      <c r="AAA53" s="22"/>
      <c r="AAB53" s="22"/>
      <c r="AAC53" s="22"/>
      <c r="AAD53" s="22"/>
      <c r="AAE53" s="22"/>
      <c r="AAF53" s="22"/>
      <c r="AAG53" s="22"/>
      <c r="AAH53" s="22"/>
      <c r="AAI53" s="22"/>
      <c r="AAJ53" s="22"/>
      <c r="AAK53" s="22"/>
      <c r="AAL53" s="22"/>
      <c r="AAM53" s="22"/>
      <c r="AAN53" s="22"/>
      <c r="AAO53" s="22"/>
      <c r="AAP53" s="22"/>
      <c r="AAQ53" s="22"/>
      <c r="AAR53" s="22"/>
      <c r="AAS53" s="22"/>
      <c r="AAT53" s="22"/>
      <c r="AAU53" s="22"/>
      <c r="AAV53" s="22"/>
      <c r="AAW53" s="22"/>
      <c r="AAX53" s="22"/>
      <c r="AAY53" s="22"/>
      <c r="AAZ53" s="22"/>
      <c r="ABA53" s="22"/>
      <c r="ABB53" s="22"/>
      <c r="ABC53" s="22"/>
    </row>
    <row r="54" spans="1:731" ht="15" customHeight="1" x14ac:dyDescent="0.3">
      <c r="A54" s="414"/>
      <c r="B54" s="423"/>
      <c r="C54" s="8"/>
      <c r="D54" s="27" t="s">
        <v>11</v>
      </c>
      <c r="E54" s="73" t="s">
        <v>69</v>
      </c>
      <c r="F54" s="15">
        <f t="shared" si="70"/>
        <v>0</v>
      </c>
      <c r="G54" s="16">
        <f t="shared" si="70"/>
        <v>0</v>
      </c>
      <c r="H54" s="52">
        <f t="shared" si="64"/>
        <v>0</v>
      </c>
      <c r="I54" s="14" t="str">
        <f t="shared" si="1"/>
        <v/>
      </c>
      <c r="J54" s="15"/>
      <c r="K54" s="74"/>
      <c r="L54" s="52">
        <f t="shared" si="65"/>
        <v>0</v>
      </c>
      <c r="M54" s="14" t="str">
        <f t="shared" si="21"/>
        <v/>
      </c>
      <c r="N54" s="15"/>
      <c r="O54" s="74"/>
      <c r="P54" s="52">
        <f t="shared" si="66"/>
        <v>0</v>
      </c>
      <c r="Q54" s="14" t="str">
        <f t="shared" si="2"/>
        <v/>
      </c>
      <c r="R54" s="57"/>
      <c r="S54" s="16"/>
      <c r="T54" s="52">
        <f t="shared" si="67"/>
        <v>0</v>
      </c>
      <c r="U54" s="14" t="str">
        <f t="shared" si="30"/>
        <v/>
      </c>
      <c r="V54" s="57"/>
      <c r="W54" s="16"/>
      <c r="X54" s="52">
        <f t="shared" si="68"/>
        <v>0</v>
      </c>
      <c r="Y54" s="14" t="str">
        <f t="shared" si="4"/>
        <v/>
      </c>
      <c r="Z54" s="15"/>
      <c r="AA54" s="74"/>
      <c r="AB54" s="52">
        <f t="shared" si="69"/>
        <v>0</v>
      </c>
      <c r="AC54" s="19" t="str">
        <f t="shared" si="5"/>
        <v/>
      </c>
      <c r="AD54" s="137"/>
      <c r="AE54" s="138"/>
      <c r="AF54" s="108">
        <f t="shared" si="6"/>
        <v>0</v>
      </c>
      <c r="AG54" s="110" t="str">
        <f t="shared" si="7"/>
        <v/>
      </c>
      <c r="AH54" s="142"/>
      <c r="AI54" s="127"/>
      <c r="AJ54" s="108">
        <f t="shared" si="8"/>
        <v>0</v>
      </c>
      <c r="AK54" s="20" t="str">
        <f t="shared" si="71"/>
        <v/>
      </c>
      <c r="AL54" s="143"/>
      <c r="AM54" s="136"/>
      <c r="AN54" s="13">
        <f t="shared" si="9"/>
        <v>0</v>
      </c>
      <c r="AO54" s="19" t="str">
        <f t="shared" si="10"/>
        <v/>
      </c>
      <c r="AP54" s="51" t="s">
        <v>136</v>
      </c>
      <c r="AQ54" s="22"/>
      <c r="AR54" s="1">
        <f t="shared" si="11"/>
        <v>0</v>
      </c>
      <c r="AS54" s="1">
        <f t="shared" si="12"/>
        <v>0</v>
      </c>
      <c r="AT54" s="1">
        <f t="shared" si="13"/>
        <v>0</v>
      </c>
      <c r="AU54" s="1">
        <f t="shared" si="14"/>
        <v>0</v>
      </c>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c r="HZ54" s="22"/>
      <c r="IA54" s="22"/>
      <c r="IB54" s="22"/>
      <c r="IC54" s="22"/>
      <c r="ID54" s="22"/>
      <c r="IE54" s="22"/>
      <c r="IF54" s="22"/>
      <c r="IG54" s="22"/>
      <c r="IH54" s="22"/>
      <c r="II54" s="22"/>
      <c r="IJ54" s="22"/>
      <c r="IK54" s="22"/>
      <c r="IL54" s="22"/>
      <c r="IM54" s="22"/>
      <c r="IN54" s="22"/>
      <c r="IO54" s="22"/>
      <c r="IP54" s="22"/>
      <c r="IQ54" s="22"/>
      <c r="IR54" s="22"/>
      <c r="IS54" s="22"/>
      <c r="IT54" s="22"/>
      <c r="IU54" s="22"/>
      <c r="IV54" s="22"/>
      <c r="IW54" s="22"/>
      <c r="IX54" s="22"/>
      <c r="IY54" s="22"/>
      <c r="IZ54" s="22"/>
      <c r="JA54" s="22"/>
      <c r="JB54" s="22"/>
      <c r="JC54" s="22"/>
      <c r="JD54" s="22"/>
      <c r="JE54" s="22"/>
      <c r="JJ54" s="22"/>
      <c r="JK54" s="22"/>
      <c r="JL54" s="22"/>
      <c r="JM54" s="22"/>
      <c r="JN54" s="22"/>
      <c r="JO54" s="22"/>
      <c r="JP54" s="22"/>
      <c r="JQ54" s="22"/>
      <c r="JR54" s="22"/>
      <c r="JS54" s="22"/>
      <c r="JT54" s="22"/>
      <c r="JU54" s="22"/>
      <c r="JV54" s="22"/>
      <c r="JW54" s="22"/>
      <c r="JX54" s="22"/>
      <c r="JY54" s="22"/>
      <c r="JZ54" s="22"/>
      <c r="KA54" s="22"/>
      <c r="KB54" s="22"/>
      <c r="KC54" s="22"/>
      <c r="KD54" s="22"/>
      <c r="KE54" s="22"/>
      <c r="KF54" s="22"/>
      <c r="KG54" s="22"/>
      <c r="KH54" s="22"/>
      <c r="KI54" s="22"/>
      <c r="KJ54" s="22"/>
      <c r="KK54" s="22"/>
      <c r="KL54" s="22"/>
      <c r="KM54" s="22"/>
      <c r="KN54" s="22"/>
      <c r="KO54" s="22"/>
      <c r="KP54" s="22"/>
      <c r="KQ54" s="22"/>
      <c r="KR54" s="22"/>
      <c r="KS54" s="22"/>
      <c r="KT54" s="22"/>
      <c r="KU54" s="22"/>
      <c r="KV54" s="22"/>
      <c r="KW54" s="22"/>
      <c r="KX54" s="22"/>
      <c r="KY54" s="22"/>
      <c r="KZ54" s="22"/>
      <c r="LA54" s="22"/>
      <c r="LB54" s="22"/>
      <c r="LC54" s="22"/>
      <c r="LD54" s="22"/>
      <c r="LE54" s="22"/>
      <c r="LF54" s="22"/>
      <c r="LG54" s="22"/>
      <c r="LH54" s="22"/>
      <c r="LI54" s="22"/>
      <c r="LJ54" s="22"/>
      <c r="LK54" s="22"/>
      <c r="LL54" s="22"/>
      <c r="LM54" s="22"/>
      <c r="LN54" s="22"/>
      <c r="LO54" s="22"/>
      <c r="LP54" s="22"/>
      <c r="LQ54" s="22"/>
      <c r="LR54" s="22"/>
      <c r="LS54" s="22"/>
      <c r="LT54" s="22"/>
      <c r="LU54" s="22"/>
      <c r="LV54" s="22"/>
      <c r="LW54" s="22"/>
      <c r="LX54" s="22"/>
      <c r="LY54" s="22"/>
      <c r="LZ54" s="22"/>
      <c r="MA54" s="22"/>
      <c r="MB54" s="22"/>
      <c r="MC54" s="22"/>
      <c r="MD54" s="22"/>
      <c r="ME54" s="22"/>
      <c r="MF54" s="22"/>
      <c r="MG54" s="22"/>
      <c r="MH54" s="22"/>
      <c r="MI54" s="22"/>
      <c r="MJ54" s="22"/>
      <c r="MK54" s="22"/>
      <c r="ML54" s="22"/>
      <c r="MM54" s="22"/>
      <c r="MN54" s="22"/>
      <c r="MO54" s="22"/>
      <c r="MP54" s="22"/>
      <c r="MQ54" s="22"/>
      <c r="MR54" s="22"/>
      <c r="MS54" s="22"/>
      <c r="MT54" s="22"/>
      <c r="MU54" s="22"/>
      <c r="MV54" s="22"/>
      <c r="MW54" s="22"/>
      <c r="MX54" s="22"/>
      <c r="MY54" s="22"/>
      <c r="MZ54" s="22"/>
      <c r="NA54" s="22"/>
      <c r="NB54" s="22"/>
      <c r="NC54" s="22"/>
      <c r="ND54" s="22"/>
      <c r="NE54" s="22"/>
      <c r="NF54" s="22"/>
      <c r="NG54" s="22"/>
      <c r="NH54" s="22"/>
      <c r="NI54" s="22"/>
      <c r="NJ54" s="22"/>
      <c r="NK54" s="22"/>
      <c r="NL54" s="22"/>
      <c r="NM54" s="22"/>
      <c r="NN54" s="22"/>
      <c r="NO54" s="22"/>
      <c r="NP54" s="22"/>
      <c r="NQ54" s="22"/>
      <c r="NR54" s="22"/>
      <c r="NS54" s="22"/>
      <c r="NT54" s="22"/>
      <c r="NU54" s="22"/>
      <c r="NV54" s="22"/>
      <c r="NW54" s="22"/>
      <c r="NX54" s="22"/>
      <c r="NY54" s="22"/>
      <c r="NZ54" s="22"/>
      <c r="OA54" s="22"/>
      <c r="OB54" s="22"/>
      <c r="OC54" s="22"/>
      <c r="OD54" s="22"/>
      <c r="OE54" s="22"/>
      <c r="OF54" s="22"/>
      <c r="OG54" s="22"/>
      <c r="OH54" s="22"/>
      <c r="OI54" s="22"/>
      <c r="OJ54" s="22"/>
      <c r="OK54" s="22"/>
      <c r="OL54" s="22"/>
      <c r="OM54" s="22"/>
      <c r="ON54" s="22"/>
      <c r="OO54" s="22"/>
      <c r="OP54" s="22"/>
      <c r="OQ54" s="22"/>
      <c r="OR54" s="22"/>
      <c r="OS54" s="22"/>
      <c r="OT54" s="22"/>
      <c r="OU54" s="22"/>
      <c r="OV54" s="22"/>
      <c r="OW54" s="22"/>
      <c r="OX54" s="22"/>
      <c r="OY54" s="22"/>
      <c r="OZ54" s="22"/>
      <c r="PA54" s="22"/>
      <c r="PB54" s="22"/>
      <c r="PC54" s="22"/>
      <c r="PD54" s="22"/>
      <c r="PE54" s="22"/>
      <c r="PF54" s="22"/>
      <c r="PG54" s="22"/>
      <c r="PH54" s="22"/>
      <c r="PI54" s="22"/>
      <c r="PJ54" s="22"/>
      <c r="PK54" s="22"/>
      <c r="PL54" s="22"/>
      <c r="PM54" s="22"/>
      <c r="PN54" s="22"/>
      <c r="PO54" s="22"/>
      <c r="PP54" s="22"/>
      <c r="PQ54" s="22"/>
      <c r="PR54" s="22"/>
      <c r="PS54" s="22"/>
      <c r="PT54" s="22"/>
      <c r="PU54" s="22"/>
      <c r="PV54" s="22"/>
      <c r="PW54" s="22"/>
      <c r="PX54" s="22"/>
      <c r="PY54" s="22"/>
      <c r="PZ54" s="22"/>
      <c r="QA54" s="22"/>
      <c r="QB54" s="22"/>
      <c r="QC54" s="22"/>
      <c r="QD54" s="22"/>
      <c r="QE54" s="22"/>
      <c r="QF54" s="22"/>
      <c r="QG54" s="22"/>
      <c r="QH54" s="22"/>
      <c r="QI54" s="22"/>
      <c r="QJ54" s="22"/>
      <c r="QK54" s="22"/>
      <c r="QL54" s="22"/>
      <c r="QM54" s="22"/>
      <c r="QN54" s="22"/>
      <c r="QO54" s="22"/>
      <c r="QP54" s="22"/>
      <c r="QQ54" s="22"/>
      <c r="QR54" s="22"/>
      <c r="QS54" s="22"/>
      <c r="QT54" s="22"/>
      <c r="QU54" s="22"/>
      <c r="QV54" s="22"/>
      <c r="QW54" s="22"/>
      <c r="QX54" s="22"/>
      <c r="QY54" s="22"/>
      <c r="QZ54" s="22"/>
      <c r="RA54" s="22"/>
      <c r="RB54" s="22"/>
      <c r="RC54" s="22"/>
      <c r="RD54" s="22"/>
      <c r="RE54" s="22"/>
      <c r="RF54" s="22"/>
      <c r="RG54" s="22"/>
      <c r="RH54" s="22"/>
      <c r="RI54" s="22"/>
      <c r="RJ54" s="22"/>
      <c r="RK54" s="22"/>
      <c r="RL54" s="22"/>
      <c r="RM54" s="22"/>
      <c r="RN54" s="22"/>
      <c r="RO54" s="22"/>
      <c r="RP54" s="22"/>
      <c r="RQ54" s="22"/>
      <c r="RR54" s="22"/>
      <c r="RS54" s="22"/>
      <c r="RT54" s="22"/>
      <c r="RU54" s="22"/>
      <c r="RV54" s="22"/>
      <c r="RW54" s="22"/>
      <c r="RX54" s="22"/>
      <c r="RY54" s="22"/>
      <c r="RZ54" s="22"/>
      <c r="SA54" s="22"/>
      <c r="SB54" s="22"/>
      <c r="SC54" s="22"/>
      <c r="SD54" s="22"/>
      <c r="SE54" s="22"/>
      <c r="SF54" s="22"/>
      <c r="SG54" s="22"/>
      <c r="SH54" s="22"/>
      <c r="SI54" s="22"/>
      <c r="SJ54" s="22"/>
      <c r="SK54" s="22"/>
      <c r="SL54" s="22"/>
      <c r="SM54" s="22"/>
      <c r="SN54" s="22"/>
      <c r="SO54" s="22"/>
      <c r="SP54" s="22"/>
      <c r="SQ54" s="22"/>
      <c r="SR54" s="22"/>
      <c r="SS54" s="22"/>
      <c r="ST54" s="22"/>
      <c r="SU54" s="22"/>
      <c r="SV54" s="22"/>
      <c r="SW54" s="22"/>
      <c r="SX54" s="22"/>
      <c r="SY54" s="22"/>
      <c r="SZ54" s="22"/>
      <c r="TA54" s="22"/>
      <c r="TB54" s="22"/>
      <c r="TC54" s="22"/>
      <c r="TD54" s="22"/>
      <c r="TE54" s="22"/>
      <c r="TF54" s="22"/>
      <c r="TG54" s="22"/>
      <c r="TH54" s="22"/>
      <c r="TI54" s="22"/>
      <c r="TJ54" s="22"/>
      <c r="TK54" s="22"/>
      <c r="TL54" s="22"/>
      <c r="TM54" s="22"/>
      <c r="TN54" s="22"/>
      <c r="TO54" s="22"/>
      <c r="TP54" s="22"/>
      <c r="TQ54" s="22"/>
      <c r="TR54" s="22"/>
      <c r="TS54" s="22"/>
      <c r="TT54" s="22"/>
      <c r="TU54" s="22"/>
      <c r="TV54" s="22"/>
      <c r="TW54" s="22"/>
      <c r="TX54" s="22"/>
      <c r="TY54" s="22"/>
      <c r="TZ54" s="22"/>
      <c r="UA54" s="22"/>
      <c r="UB54" s="22"/>
      <c r="UC54" s="22"/>
      <c r="UD54" s="22"/>
      <c r="UE54" s="22"/>
      <c r="UF54" s="22"/>
      <c r="UG54" s="22"/>
      <c r="UH54" s="22"/>
      <c r="UI54" s="22"/>
      <c r="UJ54" s="22"/>
      <c r="UK54" s="22"/>
      <c r="UL54" s="22"/>
      <c r="UM54" s="22"/>
      <c r="UN54" s="22"/>
      <c r="UO54" s="22"/>
      <c r="UP54" s="22"/>
      <c r="UQ54" s="22"/>
      <c r="UR54" s="22"/>
      <c r="US54" s="22"/>
      <c r="UT54" s="22"/>
      <c r="UU54" s="22"/>
      <c r="UV54" s="22"/>
      <c r="UW54" s="22"/>
      <c r="UX54" s="22"/>
      <c r="UY54" s="22"/>
      <c r="UZ54" s="22"/>
      <c r="VA54" s="22"/>
      <c r="VB54" s="22"/>
      <c r="VC54" s="22"/>
      <c r="VD54" s="22"/>
      <c r="VE54" s="22"/>
      <c r="VF54" s="22"/>
      <c r="VG54" s="22"/>
      <c r="VH54" s="22"/>
      <c r="VI54" s="22"/>
      <c r="VJ54" s="22"/>
      <c r="VK54" s="22"/>
      <c r="VL54" s="22"/>
      <c r="VM54" s="22"/>
      <c r="VN54" s="22"/>
      <c r="VO54" s="22"/>
      <c r="VP54" s="22"/>
      <c r="VQ54" s="22"/>
      <c r="VR54" s="22"/>
      <c r="VS54" s="22"/>
      <c r="VT54" s="22"/>
      <c r="VU54" s="22"/>
      <c r="VV54" s="22"/>
      <c r="VW54" s="22"/>
      <c r="VX54" s="22"/>
      <c r="VY54" s="22"/>
      <c r="VZ54" s="22"/>
      <c r="WA54" s="22"/>
      <c r="WB54" s="22"/>
      <c r="WC54" s="22"/>
      <c r="WD54" s="22"/>
      <c r="WE54" s="22"/>
      <c r="WF54" s="22"/>
      <c r="WG54" s="22"/>
      <c r="WH54" s="22"/>
      <c r="WI54" s="22"/>
      <c r="WJ54" s="22"/>
      <c r="WK54" s="22"/>
      <c r="WL54" s="22"/>
      <c r="WM54" s="22"/>
      <c r="WN54" s="22"/>
      <c r="WO54" s="22"/>
      <c r="WP54" s="22"/>
      <c r="WQ54" s="22"/>
      <c r="WR54" s="22"/>
      <c r="WS54" s="22"/>
      <c r="WT54" s="22"/>
      <c r="WU54" s="22"/>
      <c r="WV54" s="22"/>
      <c r="WW54" s="22"/>
      <c r="WX54" s="22"/>
      <c r="WY54" s="22"/>
      <c r="WZ54" s="22"/>
      <c r="XA54" s="22"/>
      <c r="XB54" s="22"/>
      <c r="XC54" s="22"/>
      <c r="XD54" s="22"/>
      <c r="XE54" s="22"/>
      <c r="XF54" s="22"/>
      <c r="XG54" s="22"/>
      <c r="XH54" s="22"/>
      <c r="XI54" s="22"/>
      <c r="XJ54" s="22"/>
      <c r="XK54" s="22"/>
      <c r="XL54" s="22"/>
      <c r="XM54" s="22"/>
      <c r="XN54" s="22"/>
      <c r="XO54" s="22"/>
      <c r="XP54" s="22"/>
      <c r="XQ54" s="22"/>
      <c r="XR54" s="22"/>
      <c r="XS54" s="22"/>
      <c r="XT54" s="22"/>
      <c r="XU54" s="22"/>
      <c r="XV54" s="22"/>
      <c r="XW54" s="22"/>
      <c r="XX54" s="22"/>
      <c r="XY54" s="22"/>
      <c r="XZ54" s="22"/>
      <c r="YA54" s="22"/>
      <c r="YB54" s="22"/>
      <c r="YC54" s="22"/>
      <c r="YD54" s="22"/>
      <c r="YE54" s="22"/>
      <c r="YF54" s="22"/>
      <c r="YG54" s="22"/>
      <c r="YH54" s="22"/>
      <c r="YI54" s="22"/>
      <c r="YJ54" s="22"/>
      <c r="YK54" s="22"/>
      <c r="YL54" s="22"/>
      <c r="YM54" s="22"/>
      <c r="YN54" s="22"/>
      <c r="YO54" s="22"/>
      <c r="YP54" s="22"/>
      <c r="YQ54" s="22"/>
      <c r="YR54" s="22"/>
      <c r="YS54" s="22"/>
      <c r="YT54" s="22"/>
      <c r="YU54" s="22"/>
      <c r="YV54" s="22"/>
      <c r="YW54" s="22"/>
      <c r="YX54" s="22"/>
      <c r="YY54" s="22"/>
      <c r="YZ54" s="22"/>
      <c r="ZA54" s="22"/>
      <c r="ZB54" s="22"/>
      <c r="ZC54" s="22"/>
      <c r="ZD54" s="22"/>
      <c r="ZE54" s="22"/>
      <c r="ZF54" s="22"/>
      <c r="ZG54" s="22"/>
      <c r="ZH54" s="22"/>
      <c r="ZI54" s="22"/>
      <c r="ZJ54" s="22"/>
      <c r="ZK54" s="22"/>
      <c r="ZL54" s="22"/>
      <c r="ZM54" s="22"/>
      <c r="ZN54" s="22"/>
      <c r="ZO54" s="22"/>
      <c r="ZP54" s="22"/>
      <c r="ZQ54" s="22"/>
      <c r="ZR54" s="22"/>
      <c r="ZS54" s="22"/>
      <c r="ZT54" s="22"/>
      <c r="ZU54" s="22"/>
      <c r="ZV54" s="22"/>
      <c r="ZW54" s="22"/>
      <c r="ZX54" s="22"/>
      <c r="ZY54" s="22"/>
      <c r="ZZ54" s="22"/>
      <c r="AAA54" s="22"/>
      <c r="AAB54" s="22"/>
      <c r="AAC54" s="22"/>
      <c r="AAD54" s="22"/>
      <c r="AAE54" s="22"/>
      <c r="AAF54" s="22"/>
      <c r="AAG54" s="22"/>
      <c r="AAH54" s="22"/>
      <c r="AAI54" s="22"/>
      <c r="AAJ54" s="22"/>
      <c r="AAK54" s="22"/>
      <c r="AAL54" s="22"/>
      <c r="AAM54" s="22"/>
      <c r="AAN54" s="22"/>
      <c r="AAO54" s="22"/>
      <c r="AAP54" s="22"/>
      <c r="AAQ54" s="22"/>
      <c r="AAR54" s="22"/>
      <c r="AAS54" s="22"/>
      <c r="AAT54" s="22"/>
      <c r="AAU54" s="22"/>
      <c r="AAV54" s="22"/>
      <c r="AAW54" s="22"/>
      <c r="AAX54" s="22"/>
      <c r="AAY54" s="22"/>
      <c r="AAZ54" s="22"/>
      <c r="ABA54" s="22"/>
      <c r="ABB54" s="22"/>
      <c r="ABC54" s="22"/>
    </row>
    <row r="55" spans="1:731" ht="15" customHeight="1" x14ac:dyDescent="0.3">
      <c r="A55" s="414"/>
      <c r="B55" s="423"/>
      <c r="C55" s="8"/>
      <c r="D55" s="27" t="s">
        <v>11</v>
      </c>
      <c r="E55" s="73" t="s">
        <v>70</v>
      </c>
      <c r="F55" s="15">
        <f t="shared" si="70"/>
        <v>0</v>
      </c>
      <c r="G55" s="16">
        <f t="shared" si="70"/>
        <v>0</v>
      </c>
      <c r="H55" s="52">
        <f t="shared" si="64"/>
        <v>0</v>
      </c>
      <c r="I55" s="14" t="str">
        <f t="shared" si="1"/>
        <v/>
      </c>
      <c r="J55" s="15"/>
      <c r="K55" s="74"/>
      <c r="L55" s="52">
        <f t="shared" si="65"/>
        <v>0</v>
      </c>
      <c r="M55" s="14" t="str">
        <f t="shared" si="21"/>
        <v/>
      </c>
      <c r="N55" s="15"/>
      <c r="O55" s="74"/>
      <c r="P55" s="52">
        <f t="shared" si="66"/>
        <v>0</v>
      </c>
      <c r="Q55" s="14" t="str">
        <f t="shared" si="2"/>
        <v/>
      </c>
      <c r="R55" s="15"/>
      <c r="S55" s="16"/>
      <c r="T55" s="52">
        <f t="shared" si="67"/>
        <v>0</v>
      </c>
      <c r="U55" s="14" t="str">
        <f t="shared" si="30"/>
        <v/>
      </c>
      <c r="V55" s="15"/>
      <c r="W55" s="16"/>
      <c r="X55" s="52">
        <f t="shared" si="68"/>
        <v>0</v>
      </c>
      <c r="Y55" s="14" t="str">
        <f t="shared" si="4"/>
        <v/>
      </c>
      <c r="Z55" s="15"/>
      <c r="AA55" s="74"/>
      <c r="AB55" s="52">
        <f t="shared" si="69"/>
        <v>0</v>
      </c>
      <c r="AC55" s="19" t="str">
        <f t="shared" si="5"/>
        <v/>
      </c>
      <c r="AD55" s="137"/>
      <c r="AE55" s="138"/>
      <c r="AF55" s="108">
        <f t="shared" si="6"/>
        <v>0</v>
      </c>
      <c r="AG55" s="110" t="str">
        <f t="shared" si="7"/>
        <v/>
      </c>
      <c r="AH55" s="142"/>
      <c r="AI55" s="127"/>
      <c r="AJ55" s="108">
        <f t="shared" si="8"/>
        <v>0</v>
      </c>
      <c r="AK55" s="20" t="str">
        <f t="shared" si="71"/>
        <v/>
      </c>
      <c r="AL55" s="143"/>
      <c r="AM55" s="136"/>
      <c r="AN55" s="13">
        <f t="shared" si="9"/>
        <v>0</v>
      </c>
      <c r="AO55" s="19" t="str">
        <f t="shared" si="10"/>
        <v/>
      </c>
      <c r="AP55" s="51" t="s">
        <v>136</v>
      </c>
      <c r="AQ55" s="22"/>
      <c r="AR55" s="1">
        <f t="shared" si="11"/>
        <v>0</v>
      </c>
      <c r="AS55" s="1">
        <f t="shared" si="12"/>
        <v>0</v>
      </c>
      <c r="AT55" s="1">
        <f t="shared" si="13"/>
        <v>0</v>
      </c>
      <c r="AU55" s="1">
        <f t="shared" si="14"/>
        <v>0</v>
      </c>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c r="HO55" s="22"/>
      <c r="HP55" s="22"/>
      <c r="HQ55" s="22"/>
      <c r="HR55" s="22"/>
      <c r="HS55" s="22"/>
      <c r="HT55" s="22"/>
      <c r="HU55" s="22"/>
      <c r="HV55" s="22"/>
      <c r="HW55" s="22"/>
      <c r="HX55" s="22"/>
      <c r="HY55" s="22"/>
      <c r="HZ55" s="22"/>
      <c r="IA55" s="22"/>
      <c r="IB55" s="22"/>
      <c r="IC55" s="22"/>
      <c r="ID55" s="22"/>
      <c r="IE55" s="22"/>
      <c r="IF55" s="22"/>
      <c r="IG55" s="22"/>
      <c r="IH55" s="22"/>
      <c r="II55" s="22"/>
      <c r="IJ55" s="22"/>
      <c r="IK55" s="22"/>
      <c r="IL55" s="22"/>
      <c r="IM55" s="22"/>
      <c r="IN55" s="22"/>
      <c r="IO55" s="22"/>
      <c r="IP55" s="22"/>
      <c r="IQ55" s="22"/>
      <c r="IR55" s="22"/>
      <c r="IS55" s="22"/>
      <c r="IT55" s="22"/>
      <c r="IU55" s="22"/>
      <c r="IV55" s="22"/>
      <c r="IW55" s="22"/>
      <c r="IX55" s="22"/>
      <c r="IY55" s="22"/>
      <c r="IZ55" s="22"/>
      <c r="JA55" s="22"/>
      <c r="JB55" s="22"/>
      <c r="JC55" s="22"/>
      <c r="JD55" s="22"/>
      <c r="JE55" s="22"/>
      <c r="JJ55" s="22"/>
      <c r="JK55" s="22"/>
      <c r="JL55" s="22"/>
      <c r="JM55" s="22"/>
      <c r="JN55" s="22"/>
      <c r="JO55" s="22"/>
      <c r="JP55" s="22"/>
      <c r="JQ55" s="22"/>
      <c r="JR55" s="22"/>
      <c r="JS55" s="22"/>
      <c r="JT55" s="22"/>
      <c r="JU55" s="22"/>
      <c r="JV55" s="22"/>
      <c r="JW55" s="22"/>
      <c r="JX55" s="22"/>
      <c r="JY55" s="22"/>
      <c r="JZ55" s="22"/>
      <c r="KA55" s="22"/>
      <c r="KB55" s="22"/>
      <c r="KC55" s="22"/>
      <c r="KD55" s="22"/>
      <c r="KE55" s="22"/>
      <c r="KF55" s="22"/>
      <c r="KG55" s="22"/>
      <c r="KH55" s="22"/>
      <c r="KI55" s="22"/>
      <c r="KJ55" s="22"/>
      <c r="KK55" s="22"/>
      <c r="KL55" s="22"/>
      <c r="KM55" s="22"/>
      <c r="KN55" s="22"/>
      <c r="KO55" s="22"/>
      <c r="KP55" s="22"/>
      <c r="KQ55" s="22"/>
      <c r="KR55" s="22"/>
      <c r="KS55" s="22"/>
      <c r="KT55" s="22"/>
      <c r="KU55" s="22"/>
      <c r="KV55" s="22"/>
      <c r="KW55" s="22"/>
      <c r="KX55" s="22"/>
      <c r="KY55" s="22"/>
      <c r="KZ55" s="22"/>
      <c r="LA55" s="22"/>
      <c r="LB55" s="22"/>
      <c r="LC55" s="22"/>
      <c r="LD55" s="22"/>
      <c r="LE55" s="22"/>
      <c r="LF55" s="22"/>
      <c r="LG55" s="22"/>
      <c r="LH55" s="22"/>
      <c r="LI55" s="22"/>
      <c r="LJ55" s="22"/>
      <c r="LK55" s="22"/>
      <c r="LL55" s="22"/>
      <c r="LM55" s="22"/>
      <c r="LN55" s="22"/>
      <c r="LO55" s="22"/>
      <c r="LP55" s="22"/>
      <c r="LQ55" s="22"/>
      <c r="LR55" s="22"/>
      <c r="LS55" s="22"/>
      <c r="LT55" s="22"/>
      <c r="LU55" s="22"/>
      <c r="LV55" s="22"/>
      <c r="LW55" s="22"/>
      <c r="LX55" s="22"/>
      <c r="LY55" s="22"/>
      <c r="LZ55" s="22"/>
      <c r="MA55" s="22"/>
      <c r="MB55" s="22"/>
      <c r="MC55" s="22"/>
      <c r="MD55" s="22"/>
      <c r="ME55" s="22"/>
      <c r="MF55" s="22"/>
      <c r="MG55" s="22"/>
      <c r="MH55" s="22"/>
      <c r="MI55" s="22"/>
      <c r="MJ55" s="22"/>
      <c r="MK55" s="22"/>
      <c r="ML55" s="22"/>
      <c r="MM55" s="22"/>
      <c r="MN55" s="22"/>
      <c r="MO55" s="22"/>
      <c r="MP55" s="22"/>
      <c r="MQ55" s="22"/>
      <c r="MR55" s="22"/>
      <c r="MS55" s="22"/>
      <c r="MT55" s="22"/>
      <c r="MU55" s="22"/>
      <c r="MV55" s="22"/>
      <c r="MW55" s="22"/>
      <c r="MX55" s="22"/>
      <c r="MY55" s="22"/>
      <c r="MZ55" s="22"/>
      <c r="NA55" s="22"/>
      <c r="NB55" s="22"/>
      <c r="NC55" s="22"/>
      <c r="ND55" s="22"/>
      <c r="NE55" s="22"/>
      <c r="NF55" s="22"/>
      <c r="NG55" s="22"/>
      <c r="NH55" s="22"/>
      <c r="NI55" s="22"/>
      <c r="NJ55" s="22"/>
      <c r="NK55" s="22"/>
      <c r="NL55" s="22"/>
      <c r="NM55" s="22"/>
      <c r="NN55" s="22"/>
      <c r="NO55" s="22"/>
      <c r="NP55" s="22"/>
      <c r="NQ55" s="22"/>
      <c r="NR55" s="22"/>
      <c r="NS55" s="22"/>
      <c r="NT55" s="22"/>
      <c r="NU55" s="22"/>
      <c r="NV55" s="22"/>
      <c r="NW55" s="22"/>
      <c r="NX55" s="22"/>
      <c r="NY55" s="22"/>
      <c r="NZ55" s="22"/>
      <c r="OA55" s="22"/>
      <c r="OB55" s="22"/>
      <c r="OC55" s="22"/>
      <c r="OD55" s="22"/>
      <c r="OE55" s="22"/>
      <c r="OF55" s="22"/>
      <c r="OG55" s="22"/>
      <c r="OH55" s="22"/>
      <c r="OI55" s="22"/>
      <c r="OJ55" s="22"/>
      <c r="OK55" s="22"/>
      <c r="OL55" s="22"/>
      <c r="OM55" s="22"/>
      <c r="ON55" s="22"/>
      <c r="OO55" s="22"/>
      <c r="OP55" s="22"/>
      <c r="OQ55" s="22"/>
      <c r="OR55" s="22"/>
      <c r="OS55" s="22"/>
      <c r="OT55" s="22"/>
      <c r="OU55" s="22"/>
      <c r="OV55" s="22"/>
      <c r="OW55" s="22"/>
      <c r="OX55" s="22"/>
      <c r="OY55" s="22"/>
      <c r="OZ55" s="22"/>
      <c r="PA55" s="22"/>
      <c r="PB55" s="22"/>
      <c r="PC55" s="22"/>
      <c r="PD55" s="22"/>
      <c r="PE55" s="22"/>
      <c r="PF55" s="22"/>
      <c r="PG55" s="22"/>
      <c r="PH55" s="22"/>
      <c r="PI55" s="22"/>
      <c r="PJ55" s="22"/>
      <c r="PK55" s="22"/>
      <c r="PL55" s="22"/>
      <c r="PM55" s="22"/>
      <c r="PN55" s="22"/>
      <c r="PO55" s="22"/>
      <c r="PP55" s="22"/>
      <c r="PQ55" s="22"/>
      <c r="PR55" s="22"/>
      <c r="PS55" s="22"/>
      <c r="PT55" s="22"/>
      <c r="PU55" s="22"/>
      <c r="PV55" s="22"/>
      <c r="PW55" s="22"/>
      <c r="PX55" s="22"/>
      <c r="PY55" s="22"/>
      <c r="PZ55" s="22"/>
      <c r="QA55" s="22"/>
      <c r="QB55" s="22"/>
      <c r="QC55" s="22"/>
      <c r="QD55" s="22"/>
      <c r="QE55" s="22"/>
      <c r="QF55" s="22"/>
      <c r="QG55" s="22"/>
      <c r="QH55" s="22"/>
      <c r="QI55" s="22"/>
      <c r="QJ55" s="22"/>
      <c r="QK55" s="22"/>
      <c r="QL55" s="22"/>
      <c r="QM55" s="22"/>
      <c r="QN55" s="22"/>
      <c r="QO55" s="22"/>
      <c r="QP55" s="22"/>
      <c r="QQ55" s="22"/>
      <c r="QR55" s="22"/>
      <c r="QS55" s="22"/>
      <c r="QT55" s="22"/>
      <c r="QU55" s="22"/>
      <c r="QV55" s="22"/>
      <c r="QW55" s="22"/>
      <c r="QX55" s="22"/>
      <c r="QY55" s="22"/>
      <c r="QZ55" s="22"/>
      <c r="RA55" s="22"/>
      <c r="RB55" s="22"/>
      <c r="RC55" s="22"/>
      <c r="RD55" s="22"/>
      <c r="RE55" s="22"/>
      <c r="RF55" s="22"/>
      <c r="RG55" s="22"/>
      <c r="RH55" s="22"/>
      <c r="RI55" s="22"/>
      <c r="RJ55" s="22"/>
      <c r="RK55" s="22"/>
      <c r="RL55" s="22"/>
      <c r="RM55" s="22"/>
      <c r="RN55" s="22"/>
      <c r="RO55" s="22"/>
      <c r="RP55" s="22"/>
      <c r="RQ55" s="22"/>
      <c r="RR55" s="22"/>
      <c r="RS55" s="22"/>
      <c r="RT55" s="22"/>
      <c r="RU55" s="22"/>
      <c r="RV55" s="22"/>
      <c r="RW55" s="22"/>
      <c r="RX55" s="22"/>
      <c r="RY55" s="22"/>
      <c r="RZ55" s="22"/>
      <c r="SA55" s="22"/>
      <c r="SB55" s="22"/>
      <c r="SC55" s="22"/>
      <c r="SD55" s="22"/>
      <c r="SE55" s="22"/>
      <c r="SF55" s="22"/>
      <c r="SG55" s="22"/>
      <c r="SH55" s="22"/>
      <c r="SI55" s="22"/>
      <c r="SJ55" s="22"/>
      <c r="SK55" s="22"/>
      <c r="SL55" s="22"/>
      <c r="SM55" s="22"/>
      <c r="SN55" s="22"/>
      <c r="SO55" s="22"/>
      <c r="SP55" s="22"/>
      <c r="SQ55" s="22"/>
      <c r="SR55" s="22"/>
      <c r="SS55" s="22"/>
      <c r="ST55" s="22"/>
      <c r="SU55" s="22"/>
      <c r="SV55" s="22"/>
      <c r="SW55" s="22"/>
      <c r="SX55" s="22"/>
      <c r="SY55" s="22"/>
      <c r="SZ55" s="22"/>
      <c r="TA55" s="22"/>
      <c r="TB55" s="22"/>
      <c r="TC55" s="22"/>
      <c r="TD55" s="22"/>
      <c r="TE55" s="22"/>
      <c r="TF55" s="22"/>
      <c r="TG55" s="22"/>
      <c r="TH55" s="22"/>
      <c r="TI55" s="22"/>
      <c r="TJ55" s="22"/>
      <c r="TK55" s="22"/>
      <c r="TL55" s="22"/>
      <c r="TM55" s="22"/>
      <c r="TN55" s="22"/>
      <c r="TO55" s="22"/>
      <c r="TP55" s="22"/>
      <c r="TQ55" s="22"/>
      <c r="TR55" s="22"/>
      <c r="TS55" s="22"/>
      <c r="TT55" s="22"/>
      <c r="TU55" s="22"/>
      <c r="TV55" s="22"/>
      <c r="TW55" s="22"/>
      <c r="TX55" s="22"/>
      <c r="TY55" s="22"/>
      <c r="TZ55" s="22"/>
      <c r="UA55" s="22"/>
      <c r="UB55" s="22"/>
      <c r="UC55" s="22"/>
      <c r="UD55" s="22"/>
      <c r="UE55" s="22"/>
      <c r="UF55" s="22"/>
      <c r="UG55" s="22"/>
      <c r="UH55" s="22"/>
      <c r="UI55" s="22"/>
      <c r="UJ55" s="22"/>
      <c r="UK55" s="22"/>
      <c r="UL55" s="22"/>
      <c r="UM55" s="22"/>
      <c r="UN55" s="22"/>
      <c r="UO55" s="22"/>
      <c r="UP55" s="22"/>
      <c r="UQ55" s="22"/>
      <c r="UR55" s="22"/>
      <c r="US55" s="22"/>
      <c r="UT55" s="22"/>
      <c r="UU55" s="22"/>
      <c r="UV55" s="22"/>
      <c r="UW55" s="22"/>
      <c r="UX55" s="22"/>
      <c r="UY55" s="22"/>
      <c r="UZ55" s="22"/>
      <c r="VA55" s="22"/>
      <c r="VB55" s="22"/>
      <c r="VC55" s="22"/>
      <c r="VD55" s="22"/>
      <c r="VE55" s="22"/>
      <c r="VF55" s="22"/>
      <c r="VG55" s="22"/>
      <c r="VH55" s="22"/>
      <c r="VI55" s="22"/>
      <c r="VJ55" s="22"/>
      <c r="VK55" s="22"/>
      <c r="VL55" s="22"/>
      <c r="VM55" s="22"/>
      <c r="VN55" s="22"/>
      <c r="VO55" s="22"/>
      <c r="VP55" s="22"/>
      <c r="VQ55" s="22"/>
      <c r="VR55" s="22"/>
      <c r="VS55" s="22"/>
      <c r="VT55" s="22"/>
      <c r="VU55" s="22"/>
      <c r="VV55" s="22"/>
      <c r="VW55" s="22"/>
      <c r="VX55" s="22"/>
      <c r="VY55" s="22"/>
      <c r="VZ55" s="22"/>
      <c r="WA55" s="22"/>
      <c r="WB55" s="22"/>
      <c r="WC55" s="22"/>
      <c r="WD55" s="22"/>
      <c r="WE55" s="22"/>
      <c r="WF55" s="22"/>
      <c r="WG55" s="22"/>
      <c r="WH55" s="22"/>
      <c r="WI55" s="22"/>
      <c r="WJ55" s="22"/>
      <c r="WK55" s="22"/>
      <c r="WL55" s="22"/>
      <c r="WM55" s="22"/>
      <c r="WN55" s="22"/>
      <c r="WO55" s="22"/>
      <c r="WP55" s="22"/>
      <c r="WQ55" s="22"/>
      <c r="WR55" s="22"/>
      <c r="WS55" s="22"/>
      <c r="WT55" s="22"/>
      <c r="WU55" s="22"/>
      <c r="WV55" s="22"/>
      <c r="WW55" s="22"/>
      <c r="WX55" s="22"/>
      <c r="WY55" s="22"/>
      <c r="WZ55" s="22"/>
      <c r="XA55" s="22"/>
      <c r="XB55" s="22"/>
      <c r="XC55" s="22"/>
      <c r="XD55" s="22"/>
      <c r="XE55" s="22"/>
      <c r="XF55" s="22"/>
      <c r="XG55" s="22"/>
      <c r="XH55" s="22"/>
      <c r="XI55" s="22"/>
      <c r="XJ55" s="22"/>
      <c r="XK55" s="22"/>
      <c r="XL55" s="22"/>
      <c r="XM55" s="22"/>
      <c r="XN55" s="22"/>
      <c r="XO55" s="22"/>
      <c r="XP55" s="22"/>
      <c r="XQ55" s="22"/>
      <c r="XR55" s="22"/>
      <c r="XS55" s="22"/>
      <c r="XT55" s="22"/>
      <c r="XU55" s="22"/>
      <c r="XV55" s="22"/>
      <c r="XW55" s="22"/>
      <c r="XX55" s="22"/>
      <c r="XY55" s="22"/>
      <c r="XZ55" s="22"/>
      <c r="YA55" s="22"/>
      <c r="YB55" s="22"/>
      <c r="YC55" s="22"/>
      <c r="YD55" s="22"/>
      <c r="YE55" s="22"/>
      <c r="YF55" s="22"/>
      <c r="YG55" s="22"/>
      <c r="YH55" s="22"/>
      <c r="YI55" s="22"/>
      <c r="YJ55" s="22"/>
      <c r="YK55" s="22"/>
      <c r="YL55" s="22"/>
      <c r="YM55" s="22"/>
      <c r="YN55" s="22"/>
      <c r="YO55" s="22"/>
      <c r="YP55" s="22"/>
      <c r="YQ55" s="22"/>
      <c r="YR55" s="22"/>
      <c r="YS55" s="22"/>
      <c r="YT55" s="22"/>
      <c r="YU55" s="22"/>
      <c r="YV55" s="22"/>
      <c r="YW55" s="22"/>
      <c r="YX55" s="22"/>
      <c r="YY55" s="22"/>
      <c r="YZ55" s="22"/>
      <c r="ZA55" s="22"/>
      <c r="ZB55" s="22"/>
      <c r="ZC55" s="22"/>
      <c r="ZD55" s="22"/>
      <c r="ZE55" s="22"/>
      <c r="ZF55" s="22"/>
      <c r="ZG55" s="22"/>
      <c r="ZH55" s="22"/>
      <c r="ZI55" s="22"/>
      <c r="ZJ55" s="22"/>
      <c r="ZK55" s="22"/>
      <c r="ZL55" s="22"/>
      <c r="ZM55" s="22"/>
      <c r="ZN55" s="22"/>
      <c r="ZO55" s="22"/>
      <c r="ZP55" s="22"/>
      <c r="ZQ55" s="22"/>
      <c r="ZR55" s="22"/>
      <c r="ZS55" s="22"/>
      <c r="ZT55" s="22"/>
      <c r="ZU55" s="22"/>
      <c r="ZV55" s="22"/>
      <c r="ZW55" s="22"/>
      <c r="ZX55" s="22"/>
      <c r="ZY55" s="22"/>
      <c r="ZZ55" s="22"/>
      <c r="AAA55" s="22"/>
      <c r="AAB55" s="22"/>
      <c r="AAC55" s="22"/>
      <c r="AAD55" s="22"/>
      <c r="AAE55" s="22"/>
      <c r="AAF55" s="22"/>
      <c r="AAG55" s="22"/>
      <c r="AAH55" s="22"/>
      <c r="AAI55" s="22"/>
      <c r="AAJ55" s="22"/>
      <c r="AAK55" s="22"/>
      <c r="AAL55" s="22"/>
      <c r="AAM55" s="22"/>
      <c r="AAN55" s="22"/>
      <c r="AAO55" s="22"/>
      <c r="AAP55" s="22"/>
      <c r="AAQ55" s="22"/>
      <c r="AAR55" s="22"/>
      <c r="AAS55" s="22"/>
      <c r="AAT55" s="22"/>
      <c r="AAU55" s="22"/>
      <c r="AAV55" s="22"/>
      <c r="AAW55" s="22"/>
      <c r="AAX55" s="22"/>
      <c r="AAY55" s="22"/>
      <c r="AAZ55" s="22"/>
      <c r="ABA55" s="22"/>
      <c r="ABB55" s="22"/>
      <c r="ABC55" s="22"/>
    </row>
    <row r="56" spans="1:731" ht="15" customHeight="1" x14ac:dyDescent="0.3">
      <c r="A56" s="414"/>
      <c r="B56" s="423"/>
      <c r="C56" s="8"/>
      <c r="D56" s="27" t="s">
        <v>11</v>
      </c>
      <c r="E56" s="73" t="s">
        <v>140</v>
      </c>
      <c r="F56" s="15">
        <f t="shared" si="70"/>
        <v>17.385117841956291</v>
      </c>
      <c r="G56" s="16">
        <f t="shared" si="70"/>
        <v>17.385117841956291</v>
      </c>
      <c r="H56" s="52">
        <f t="shared" si="64"/>
        <v>0</v>
      </c>
      <c r="I56" s="14">
        <f t="shared" si="1"/>
        <v>0</v>
      </c>
      <c r="J56" s="15">
        <f>'[88]Summary - Apr 25'!$G$15/1000</f>
        <v>5190</v>
      </c>
      <c r="K56" s="74">
        <f>'[88]Summary - Apr 25'!$H$15/1000</f>
        <v>5190</v>
      </c>
      <c r="L56" s="52">
        <f t="shared" si="65"/>
        <v>0</v>
      </c>
      <c r="M56" s="14">
        <f t="shared" si="21"/>
        <v>0</v>
      </c>
      <c r="N56" s="15">
        <f>'[88]Summary - Apr 25'!$K$15/1000</f>
        <v>5190</v>
      </c>
      <c r="O56" s="74">
        <f>'[88]Summary - Apr 25'!$L$15/1000</f>
        <v>5190</v>
      </c>
      <c r="P56" s="52">
        <f t="shared" si="66"/>
        <v>0</v>
      </c>
      <c r="Q56" s="14">
        <f t="shared" si="2"/>
        <v>0</v>
      </c>
      <c r="R56" s="57">
        <v>0</v>
      </c>
      <c r="S56" s="16">
        <v>0</v>
      </c>
      <c r="T56" s="52">
        <f t="shared" si="67"/>
        <v>0</v>
      </c>
      <c r="U56" s="14" t="str">
        <f t="shared" si="30"/>
        <v/>
      </c>
      <c r="V56" s="57">
        <f>'[88]Summary - Apr 25'!$O$15/1000</f>
        <v>3659.1930000000002</v>
      </c>
      <c r="W56" s="16">
        <f>'[88]Summary - Apr 25'!$P$15/1000</f>
        <v>3631.625</v>
      </c>
      <c r="X56" s="52">
        <f t="shared" si="68"/>
        <v>27.568000000000211</v>
      </c>
      <c r="Y56" s="14">
        <f t="shared" si="4"/>
        <v>7.5910921419475334E-3</v>
      </c>
      <c r="Z56" s="15">
        <f>'[88]Summary - Apr 25'!$S$15/1000</f>
        <v>1530.807</v>
      </c>
      <c r="AA56" s="74">
        <f>'[88]Summary - Apr 25'!$T$15/1000</f>
        <v>1558.375</v>
      </c>
      <c r="AB56" s="52">
        <f t="shared" si="69"/>
        <v>-27.567999999999984</v>
      </c>
      <c r="AC56" s="19">
        <f t="shared" si="5"/>
        <v>-1.7690222186572541E-2</v>
      </c>
      <c r="AD56" s="131">
        <f>0</f>
        <v>0</v>
      </c>
      <c r="AE56" s="138">
        <v>0</v>
      </c>
      <c r="AF56" s="108">
        <f t="shared" si="6"/>
        <v>0</v>
      </c>
      <c r="AG56" s="113">
        <v>0</v>
      </c>
      <c r="AH56" s="142">
        <f>2767288/1000</f>
        <v>2767.288</v>
      </c>
      <c r="AI56" s="127">
        <v>0</v>
      </c>
      <c r="AJ56" s="108">
        <f t="shared" si="8"/>
        <v>2767.288</v>
      </c>
      <c r="AK56" s="19">
        <v>0</v>
      </c>
      <c r="AL56" s="144">
        <f>'[88]Summary - Apr 25'!$S$15/1000</f>
        <v>1530.807</v>
      </c>
      <c r="AM56" s="133">
        <f>'[88]Summary - Apr 25'!$T$15/1000</f>
        <v>1558.375</v>
      </c>
      <c r="AN56" s="13">
        <f t="shared" si="9"/>
        <v>-27.567999999999984</v>
      </c>
      <c r="AO56" s="19">
        <f t="shared" si="10"/>
        <v>-1.7690222186572541E-2</v>
      </c>
      <c r="AP56" s="51" t="s">
        <v>137</v>
      </c>
      <c r="AQ56" s="22"/>
      <c r="AR56" s="1">
        <f t="shared" si="11"/>
        <v>0</v>
      </c>
      <c r="AS56" s="1">
        <f t="shared" si="12"/>
        <v>0</v>
      </c>
      <c r="AT56" s="1">
        <f t="shared" si="13"/>
        <v>2767.2880000000005</v>
      </c>
      <c r="AU56" s="1">
        <f t="shared" si="14"/>
        <v>0</v>
      </c>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c r="HV56" s="22"/>
      <c r="HW56" s="22"/>
      <c r="HX56" s="22"/>
      <c r="HY56" s="22"/>
      <c r="HZ56" s="22"/>
      <c r="IA56" s="22"/>
      <c r="IB56" s="22"/>
      <c r="IC56" s="22"/>
      <c r="ID56" s="22"/>
      <c r="IE56" s="22"/>
      <c r="IF56" s="22"/>
      <c r="IG56" s="22"/>
      <c r="IH56" s="22"/>
      <c r="II56" s="22"/>
      <c r="IJ56" s="22"/>
      <c r="IK56" s="22"/>
      <c r="IL56" s="22"/>
      <c r="IM56" s="22"/>
      <c r="IN56" s="22"/>
      <c r="IO56" s="22"/>
      <c r="IP56" s="22"/>
      <c r="IQ56" s="22"/>
      <c r="IR56" s="22"/>
      <c r="IS56" s="22"/>
      <c r="IT56" s="22"/>
      <c r="IU56" s="22"/>
      <c r="IV56" s="22"/>
      <c r="IW56" s="22"/>
      <c r="IX56" s="22"/>
      <c r="IY56" s="22"/>
      <c r="IZ56" s="22"/>
      <c r="JA56" s="22"/>
      <c r="JB56" s="22"/>
      <c r="JC56" s="22"/>
      <c r="JD56" s="22"/>
      <c r="JE56" s="22"/>
      <c r="JJ56" s="22"/>
      <c r="JK56" s="22"/>
      <c r="JL56" s="22"/>
      <c r="JM56" s="22"/>
      <c r="JN56" s="22"/>
      <c r="JO56" s="22"/>
      <c r="JP56" s="22"/>
      <c r="JQ56" s="22"/>
      <c r="JR56" s="22"/>
      <c r="JS56" s="22"/>
      <c r="JT56" s="22"/>
      <c r="JU56" s="22"/>
      <c r="JV56" s="22"/>
      <c r="JW56" s="22"/>
      <c r="JX56" s="22"/>
      <c r="JY56" s="22"/>
      <c r="JZ56" s="22"/>
      <c r="KA56" s="22"/>
      <c r="KB56" s="22"/>
      <c r="KC56" s="22"/>
      <c r="KD56" s="22"/>
      <c r="KE56" s="22"/>
      <c r="KF56" s="22"/>
      <c r="KG56" s="22"/>
      <c r="KH56" s="22"/>
      <c r="KI56" s="22"/>
      <c r="KJ56" s="22"/>
      <c r="KK56" s="22"/>
      <c r="KL56" s="22"/>
      <c r="KM56" s="22"/>
      <c r="KN56" s="22"/>
      <c r="KO56" s="22"/>
      <c r="KP56" s="22"/>
      <c r="KQ56" s="22"/>
      <c r="KR56" s="22"/>
      <c r="KS56" s="22"/>
      <c r="KT56" s="22"/>
      <c r="KU56" s="22"/>
      <c r="KV56" s="22"/>
      <c r="KW56" s="22"/>
      <c r="KX56" s="22"/>
      <c r="KY56" s="22"/>
      <c r="KZ56" s="22"/>
      <c r="LA56" s="22"/>
      <c r="LB56" s="22"/>
      <c r="LC56" s="22"/>
      <c r="LD56" s="22"/>
      <c r="LE56" s="22"/>
      <c r="LF56" s="22"/>
      <c r="LG56" s="22"/>
      <c r="LH56" s="22"/>
      <c r="LI56" s="22"/>
      <c r="LJ56" s="22"/>
      <c r="LK56" s="22"/>
      <c r="LL56" s="22"/>
      <c r="LM56" s="22"/>
      <c r="LN56" s="22"/>
      <c r="LO56" s="22"/>
      <c r="LP56" s="22"/>
      <c r="LQ56" s="22"/>
      <c r="LR56" s="22"/>
      <c r="LS56" s="22"/>
      <c r="LT56" s="22"/>
      <c r="LU56" s="22"/>
      <c r="LV56" s="22"/>
      <c r="LW56" s="22"/>
      <c r="LX56" s="22"/>
      <c r="LY56" s="22"/>
      <c r="LZ56" s="22"/>
      <c r="MA56" s="22"/>
      <c r="MB56" s="22"/>
      <c r="MC56" s="22"/>
      <c r="MD56" s="22"/>
      <c r="ME56" s="22"/>
      <c r="MF56" s="22"/>
      <c r="MG56" s="22"/>
      <c r="MH56" s="22"/>
      <c r="MI56" s="22"/>
      <c r="MJ56" s="22"/>
      <c r="MK56" s="22"/>
      <c r="ML56" s="22"/>
      <c r="MM56" s="22"/>
      <c r="MN56" s="22"/>
      <c r="MO56" s="22"/>
      <c r="MP56" s="22"/>
      <c r="MQ56" s="22"/>
      <c r="MR56" s="22"/>
      <c r="MS56" s="22"/>
      <c r="MT56" s="22"/>
      <c r="MU56" s="22"/>
      <c r="MV56" s="22"/>
      <c r="MW56" s="22"/>
      <c r="MX56" s="22"/>
      <c r="MY56" s="22"/>
      <c r="MZ56" s="22"/>
      <c r="NA56" s="22"/>
      <c r="NB56" s="22"/>
      <c r="NC56" s="22"/>
      <c r="ND56" s="22"/>
      <c r="NE56" s="22"/>
      <c r="NF56" s="22"/>
      <c r="NG56" s="22"/>
      <c r="NH56" s="22"/>
      <c r="NI56" s="22"/>
      <c r="NJ56" s="22"/>
      <c r="NK56" s="22"/>
      <c r="NL56" s="22"/>
      <c r="NM56" s="22"/>
      <c r="NN56" s="22"/>
      <c r="NO56" s="22"/>
      <c r="NP56" s="22"/>
      <c r="NQ56" s="22"/>
      <c r="NR56" s="22"/>
      <c r="NS56" s="22"/>
      <c r="NT56" s="22"/>
      <c r="NU56" s="22"/>
      <c r="NV56" s="22"/>
      <c r="NW56" s="22"/>
      <c r="NX56" s="22"/>
      <c r="NY56" s="22"/>
      <c r="NZ56" s="22"/>
      <c r="OA56" s="22"/>
      <c r="OB56" s="22"/>
      <c r="OC56" s="22"/>
      <c r="OD56" s="22"/>
      <c r="OE56" s="22"/>
      <c r="OF56" s="22"/>
      <c r="OG56" s="22"/>
      <c r="OH56" s="22"/>
      <c r="OI56" s="22"/>
      <c r="OJ56" s="22"/>
      <c r="OK56" s="22"/>
      <c r="OL56" s="22"/>
      <c r="OM56" s="22"/>
      <c r="ON56" s="22"/>
      <c r="OO56" s="22"/>
      <c r="OP56" s="22"/>
      <c r="OQ56" s="22"/>
      <c r="OR56" s="22"/>
      <c r="OS56" s="22"/>
      <c r="OT56" s="22"/>
      <c r="OU56" s="22"/>
      <c r="OV56" s="22"/>
      <c r="OW56" s="22"/>
      <c r="OX56" s="22"/>
      <c r="OY56" s="22"/>
      <c r="OZ56" s="22"/>
      <c r="PA56" s="22"/>
      <c r="PB56" s="22"/>
      <c r="PC56" s="22"/>
      <c r="PD56" s="22"/>
      <c r="PE56" s="22"/>
      <c r="PF56" s="22"/>
      <c r="PG56" s="22"/>
      <c r="PH56" s="22"/>
      <c r="PI56" s="22"/>
      <c r="PJ56" s="22"/>
      <c r="PK56" s="22"/>
      <c r="PL56" s="22"/>
      <c r="PM56" s="22"/>
      <c r="PN56" s="22"/>
      <c r="PO56" s="22"/>
      <c r="PP56" s="22"/>
      <c r="PQ56" s="22"/>
      <c r="PR56" s="22"/>
      <c r="PS56" s="22"/>
      <c r="PT56" s="22"/>
      <c r="PU56" s="22"/>
      <c r="PV56" s="22"/>
      <c r="PW56" s="22"/>
      <c r="PX56" s="22"/>
      <c r="PY56" s="22"/>
      <c r="PZ56" s="22"/>
      <c r="QA56" s="22"/>
      <c r="QB56" s="22"/>
      <c r="QC56" s="22"/>
      <c r="QD56" s="22"/>
      <c r="QE56" s="22"/>
      <c r="QF56" s="22"/>
      <c r="QG56" s="22"/>
      <c r="QH56" s="22"/>
      <c r="QI56" s="22"/>
      <c r="QJ56" s="22"/>
      <c r="QK56" s="22"/>
      <c r="QL56" s="22"/>
      <c r="QM56" s="22"/>
      <c r="QN56" s="22"/>
      <c r="QO56" s="22"/>
      <c r="QP56" s="22"/>
      <c r="QQ56" s="22"/>
      <c r="QR56" s="22"/>
      <c r="QS56" s="22"/>
      <c r="QT56" s="22"/>
      <c r="QU56" s="22"/>
      <c r="QV56" s="22"/>
      <c r="QW56" s="22"/>
      <c r="QX56" s="22"/>
      <c r="QY56" s="22"/>
      <c r="QZ56" s="22"/>
      <c r="RA56" s="22"/>
      <c r="RB56" s="22"/>
      <c r="RC56" s="22"/>
      <c r="RD56" s="22"/>
      <c r="RE56" s="22"/>
      <c r="RF56" s="22"/>
      <c r="RG56" s="22"/>
      <c r="RH56" s="22"/>
      <c r="RI56" s="22"/>
      <c r="RJ56" s="22"/>
      <c r="RK56" s="22"/>
      <c r="RL56" s="22"/>
      <c r="RM56" s="22"/>
      <c r="RN56" s="22"/>
      <c r="RO56" s="22"/>
      <c r="RP56" s="22"/>
      <c r="RQ56" s="22"/>
      <c r="RR56" s="22"/>
      <c r="RS56" s="22"/>
      <c r="RT56" s="22"/>
      <c r="RU56" s="22"/>
      <c r="RV56" s="22"/>
      <c r="RW56" s="22"/>
      <c r="RX56" s="22"/>
      <c r="RY56" s="22"/>
      <c r="RZ56" s="22"/>
      <c r="SA56" s="22"/>
      <c r="SB56" s="22"/>
      <c r="SC56" s="22"/>
      <c r="SD56" s="22"/>
      <c r="SE56" s="22"/>
      <c r="SF56" s="22"/>
      <c r="SG56" s="22"/>
      <c r="SH56" s="22"/>
      <c r="SI56" s="22"/>
      <c r="SJ56" s="22"/>
      <c r="SK56" s="22"/>
      <c r="SL56" s="22"/>
      <c r="SM56" s="22"/>
      <c r="SN56" s="22"/>
      <c r="SO56" s="22"/>
      <c r="SP56" s="22"/>
      <c r="SQ56" s="22"/>
      <c r="SR56" s="22"/>
      <c r="SS56" s="22"/>
      <c r="ST56" s="22"/>
      <c r="SU56" s="22"/>
      <c r="SV56" s="22"/>
      <c r="SW56" s="22"/>
      <c r="SX56" s="22"/>
      <c r="SY56" s="22"/>
      <c r="SZ56" s="22"/>
      <c r="TA56" s="22"/>
      <c r="TB56" s="22"/>
      <c r="TC56" s="22"/>
      <c r="TD56" s="22"/>
      <c r="TE56" s="22"/>
      <c r="TF56" s="22"/>
      <c r="TG56" s="22"/>
      <c r="TH56" s="22"/>
      <c r="TI56" s="22"/>
      <c r="TJ56" s="22"/>
      <c r="TK56" s="22"/>
      <c r="TL56" s="22"/>
      <c r="TM56" s="22"/>
      <c r="TN56" s="22"/>
      <c r="TO56" s="22"/>
      <c r="TP56" s="22"/>
      <c r="TQ56" s="22"/>
      <c r="TR56" s="22"/>
      <c r="TS56" s="22"/>
      <c r="TT56" s="22"/>
      <c r="TU56" s="22"/>
      <c r="TV56" s="22"/>
      <c r="TW56" s="22"/>
      <c r="TX56" s="22"/>
      <c r="TY56" s="22"/>
      <c r="TZ56" s="22"/>
      <c r="UA56" s="22"/>
      <c r="UB56" s="22"/>
      <c r="UC56" s="22"/>
      <c r="UD56" s="22"/>
      <c r="UE56" s="22"/>
      <c r="UF56" s="22"/>
      <c r="UG56" s="22"/>
      <c r="UH56" s="22"/>
      <c r="UI56" s="22"/>
      <c r="UJ56" s="22"/>
      <c r="UK56" s="22"/>
      <c r="UL56" s="22"/>
      <c r="UM56" s="22"/>
      <c r="UN56" s="22"/>
      <c r="UO56" s="22"/>
      <c r="UP56" s="22"/>
      <c r="UQ56" s="22"/>
      <c r="UR56" s="22"/>
      <c r="US56" s="22"/>
      <c r="UT56" s="22"/>
      <c r="UU56" s="22"/>
      <c r="UV56" s="22"/>
      <c r="UW56" s="22"/>
      <c r="UX56" s="22"/>
      <c r="UY56" s="22"/>
      <c r="UZ56" s="22"/>
      <c r="VA56" s="22"/>
      <c r="VB56" s="22"/>
      <c r="VC56" s="22"/>
      <c r="VD56" s="22"/>
      <c r="VE56" s="22"/>
      <c r="VF56" s="22"/>
      <c r="VG56" s="22"/>
      <c r="VH56" s="22"/>
      <c r="VI56" s="22"/>
      <c r="VJ56" s="22"/>
      <c r="VK56" s="22"/>
      <c r="VL56" s="22"/>
      <c r="VM56" s="22"/>
      <c r="VN56" s="22"/>
      <c r="VO56" s="22"/>
      <c r="VP56" s="22"/>
      <c r="VQ56" s="22"/>
      <c r="VR56" s="22"/>
      <c r="VS56" s="22"/>
      <c r="VT56" s="22"/>
      <c r="VU56" s="22"/>
      <c r="VV56" s="22"/>
      <c r="VW56" s="22"/>
      <c r="VX56" s="22"/>
      <c r="VY56" s="22"/>
      <c r="VZ56" s="22"/>
      <c r="WA56" s="22"/>
      <c r="WB56" s="22"/>
      <c r="WC56" s="22"/>
      <c r="WD56" s="22"/>
      <c r="WE56" s="22"/>
      <c r="WF56" s="22"/>
      <c r="WG56" s="22"/>
      <c r="WH56" s="22"/>
      <c r="WI56" s="22"/>
      <c r="WJ56" s="22"/>
      <c r="WK56" s="22"/>
      <c r="WL56" s="22"/>
      <c r="WM56" s="22"/>
      <c r="WN56" s="22"/>
      <c r="WO56" s="22"/>
      <c r="WP56" s="22"/>
      <c r="WQ56" s="22"/>
      <c r="WR56" s="22"/>
      <c r="WS56" s="22"/>
      <c r="WT56" s="22"/>
      <c r="WU56" s="22"/>
      <c r="WV56" s="22"/>
      <c r="WW56" s="22"/>
      <c r="WX56" s="22"/>
      <c r="WY56" s="22"/>
      <c r="WZ56" s="22"/>
      <c r="XA56" s="22"/>
      <c r="XB56" s="22"/>
      <c r="XC56" s="22"/>
      <c r="XD56" s="22"/>
      <c r="XE56" s="22"/>
      <c r="XF56" s="22"/>
      <c r="XG56" s="22"/>
      <c r="XH56" s="22"/>
      <c r="XI56" s="22"/>
      <c r="XJ56" s="22"/>
      <c r="XK56" s="22"/>
      <c r="XL56" s="22"/>
      <c r="XM56" s="22"/>
      <c r="XN56" s="22"/>
      <c r="XO56" s="22"/>
      <c r="XP56" s="22"/>
      <c r="XQ56" s="22"/>
      <c r="XR56" s="22"/>
      <c r="XS56" s="22"/>
      <c r="XT56" s="22"/>
      <c r="XU56" s="22"/>
      <c r="XV56" s="22"/>
      <c r="XW56" s="22"/>
      <c r="XX56" s="22"/>
      <c r="XY56" s="22"/>
      <c r="XZ56" s="22"/>
      <c r="YA56" s="22"/>
      <c r="YB56" s="22"/>
      <c r="YC56" s="22"/>
      <c r="YD56" s="22"/>
      <c r="YE56" s="22"/>
      <c r="YF56" s="22"/>
      <c r="YG56" s="22"/>
      <c r="YH56" s="22"/>
      <c r="YI56" s="22"/>
      <c r="YJ56" s="22"/>
      <c r="YK56" s="22"/>
      <c r="YL56" s="22"/>
      <c r="YM56" s="22"/>
      <c r="YN56" s="22"/>
      <c r="YO56" s="22"/>
      <c r="YP56" s="22"/>
      <c r="YQ56" s="22"/>
      <c r="YR56" s="22"/>
      <c r="YS56" s="22"/>
      <c r="YT56" s="22"/>
      <c r="YU56" s="22"/>
      <c r="YV56" s="22"/>
      <c r="YW56" s="22"/>
      <c r="YX56" s="22"/>
      <c r="YY56" s="22"/>
      <c r="YZ56" s="22"/>
      <c r="ZA56" s="22"/>
      <c r="ZB56" s="22"/>
      <c r="ZC56" s="22"/>
      <c r="ZD56" s="22"/>
      <c r="ZE56" s="22"/>
      <c r="ZF56" s="22"/>
      <c r="ZG56" s="22"/>
      <c r="ZH56" s="22"/>
      <c r="ZI56" s="22"/>
      <c r="ZJ56" s="22"/>
      <c r="ZK56" s="22"/>
      <c r="ZL56" s="22"/>
      <c r="ZM56" s="22"/>
      <c r="ZN56" s="22"/>
      <c r="ZO56" s="22"/>
      <c r="ZP56" s="22"/>
      <c r="ZQ56" s="22"/>
      <c r="ZR56" s="22"/>
      <c r="ZS56" s="22"/>
      <c r="ZT56" s="22"/>
      <c r="ZU56" s="22"/>
      <c r="ZV56" s="22"/>
      <c r="ZW56" s="22"/>
      <c r="ZX56" s="22"/>
      <c r="ZY56" s="22"/>
      <c r="ZZ56" s="22"/>
      <c r="AAA56" s="22"/>
      <c r="AAB56" s="22"/>
      <c r="AAC56" s="22"/>
      <c r="AAD56" s="22"/>
      <c r="AAE56" s="22"/>
      <c r="AAF56" s="22"/>
      <c r="AAG56" s="22"/>
      <c r="AAH56" s="22"/>
      <c r="AAI56" s="22"/>
      <c r="AAJ56" s="22"/>
      <c r="AAK56" s="22"/>
      <c r="AAL56" s="22"/>
      <c r="AAM56" s="22"/>
      <c r="AAN56" s="22"/>
      <c r="AAO56" s="22"/>
      <c r="AAP56" s="22"/>
      <c r="AAQ56" s="22"/>
      <c r="AAR56" s="22"/>
      <c r="AAS56" s="22"/>
      <c r="AAT56" s="22"/>
      <c r="AAU56" s="22"/>
      <c r="AAV56" s="22"/>
      <c r="AAW56" s="22"/>
      <c r="AAX56" s="22"/>
      <c r="AAY56" s="22"/>
      <c r="AAZ56" s="22"/>
      <c r="ABA56" s="22"/>
      <c r="ABB56" s="22"/>
      <c r="ABC56" s="22"/>
    </row>
    <row r="57" spans="1:731" ht="15" customHeight="1" x14ac:dyDescent="0.3">
      <c r="A57" s="414"/>
      <c r="B57" s="423"/>
      <c r="C57" s="8"/>
      <c r="D57" s="27" t="s">
        <v>11</v>
      </c>
      <c r="E57" s="73" t="s">
        <v>94</v>
      </c>
      <c r="F57" s="15"/>
      <c r="G57" s="16"/>
      <c r="H57" s="52"/>
      <c r="I57" s="14"/>
      <c r="J57" s="15"/>
      <c r="K57" s="74"/>
      <c r="L57" s="52">
        <f t="shared" si="65"/>
        <v>0</v>
      </c>
      <c r="M57" s="14" t="str">
        <f t="shared" si="21"/>
        <v/>
      </c>
      <c r="N57" s="15">
        <f>J57</f>
        <v>0</v>
      </c>
      <c r="O57" s="74">
        <f>K57</f>
        <v>0</v>
      </c>
      <c r="P57" s="52">
        <f t="shared" si="66"/>
        <v>0</v>
      </c>
      <c r="Q57" s="14">
        <v>0</v>
      </c>
      <c r="R57" s="15">
        <v>0</v>
      </c>
      <c r="S57" s="16">
        <v>0</v>
      </c>
      <c r="T57" s="52">
        <f t="shared" si="67"/>
        <v>0</v>
      </c>
      <c r="U57" s="14"/>
      <c r="V57" s="15"/>
      <c r="W57" s="16"/>
      <c r="X57" s="52">
        <f t="shared" si="68"/>
        <v>0</v>
      </c>
      <c r="Y57" s="14" t="str">
        <f t="shared" si="4"/>
        <v/>
      </c>
      <c r="Z57" s="15"/>
      <c r="AA57" s="74"/>
      <c r="AB57" s="52">
        <f t="shared" si="69"/>
        <v>0</v>
      </c>
      <c r="AC57" s="19" t="str">
        <f t="shared" si="5"/>
        <v/>
      </c>
      <c r="AD57" s="125"/>
      <c r="AE57" s="138">
        <v>0</v>
      </c>
      <c r="AF57" s="108">
        <f>AH57-AE57</f>
        <v>0</v>
      </c>
      <c r="AG57" s="113">
        <v>0</v>
      </c>
      <c r="AH57" s="146"/>
      <c r="AI57" s="129">
        <v>0</v>
      </c>
      <c r="AJ57" s="108">
        <f t="shared" si="8"/>
        <v>0</v>
      </c>
      <c r="AK57" s="19">
        <v>0</v>
      </c>
      <c r="AL57" s="142"/>
      <c r="AM57" s="133"/>
      <c r="AN57" s="13">
        <f t="shared" si="9"/>
        <v>0</v>
      </c>
      <c r="AO57" s="19" t="str">
        <f t="shared" si="10"/>
        <v/>
      </c>
      <c r="AQ57" s="22"/>
      <c r="AR57" s="1">
        <f t="shared" si="11"/>
        <v>0</v>
      </c>
      <c r="AS57" s="1">
        <f t="shared" si="12"/>
        <v>0</v>
      </c>
      <c r="AT57" s="1">
        <f t="shared" si="13"/>
        <v>0</v>
      </c>
      <c r="AU57" s="1">
        <f t="shared" si="14"/>
        <v>0</v>
      </c>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22"/>
      <c r="GQ57" s="22"/>
      <c r="GR57" s="22"/>
      <c r="GS57" s="22"/>
      <c r="GT57" s="22"/>
      <c r="GU57" s="22"/>
      <c r="GV57" s="22"/>
      <c r="GW57" s="22"/>
      <c r="GX57" s="22"/>
      <c r="GY57" s="22"/>
      <c r="GZ57" s="22"/>
      <c r="HA57" s="22"/>
      <c r="HB57" s="22"/>
      <c r="HC57" s="22"/>
      <c r="HD57" s="22"/>
      <c r="HE57" s="22"/>
      <c r="HF57" s="22"/>
      <c r="HG57" s="22"/>
      <c r="HH57" s="22"/>
      <c r="HI57" s="22"/>
      <c r="HJ57" s="22"/>
      <c r="HK57" s="22"/>
      <c r="HL57" s="22"/>
      <c r="HM57" s="22"/>
      <c r="HN57" s="22"/>
      <c r="HO57" s="22"/>
      <c r="HP57" s="22"/>
      <c r="HQ57" s="22"/>
      <c r="HR57" s="22"/>
      <c r="HS57" s="22"/>
      <c r="HT57" s="22"/>
      <c r="HU57" s="22"/>
      <c r="HV57" s="22"/>
      <c r="HW57" s="22"/>
      <c r="HX57" s="22"/>
      <c r="HY57" s="22"/>
      <c r="HZ57" s="22"/>
      <c r="IA57" s="22"/>
      <c r="IB57" s="22"/>
      <c r="IC57" s="22"/>
      <c r="ID57" s="22"/>
      <c r="IE57" s="22"/>
      <c r="IF57" s="22"/>
      <c r="IG57" s="22"/>
      <c r="IH57" s="22"/>
      <c r="II57" s="22"/>
      <c r="IJ57" s="22"/>
      <c r="IK57" s="22"/>
      <c r="IL57" s="22"/>
      <c r="IM57" s="22"/>
      <c r="IN57" s="22"/>
      <c r="IO57" s="22"/>
      <c r="IP57" s="22"/>
      <c r="IQ57" s="22"/>
      <c r="IR57" s="22"/>
      <c r="IS57" s="22"/>
      <c r="IT57" s="22"/>
      <c r="IU57" s="22"/>
      <c r="IV57" s="22"/>
      <c r="IW57" s="22"/>
      <c r="IX57" s="22"/>
      <c r="IY57" s="22"/>
      <c r="IZ57" s="22"/>
      <c r="JA57" s="22"/>
      <c r="JB57" s="22"/>
      <c r="JC57" s="22"/>
      <c r="JD57" s="22"/>
      <c r="JE57" s="22"/>
      <c r="JJ57" s="22"/>
      <c r="JK57" s="22"/>
      <c r="JL57" s="22"/>
      <c r="JM57" s="22"/>
      <c r="JN57" s="22"/>
      <c r="JO57" s="22"/>
      <c r="JP57" s="22"/>
      <c r="JQ57" s="22"/>
      <c r="JR57" s="22"/>
      <c r="JS57" s="22"/>
      <c r="JT57" s="22"/>
      <c r="JU57" s="22"/>
      <c r="JV57" s="22"/>
      <c r="JW57" s="22"/>
      <c r="JX57" s="22"/>
      <c r="JY57" s="22"/>
      <c r="JZ57" s="22"/>
      <c r="KA57" s="22"/>
      <c r="KB57" s="22"/>
      <c r="KC57" s="22"/>
      <c r="KD57" s="22"/>
      <c r="KE57" s="22"/>
      <c r="KF57" s="22"/>
      <c r="KG57" s="22"/>
      <c r="KH57" s="22"/>
      <c r="KI57" s="22"/>
      <c r="KJ57" s="22"/>
      <c r="KK57" s="22"/>
      <c r="KL57" s="22"/>
      <c r="KM57" s="22"/>
      <c r="KN57" s="22"/>
      <c r="KO57" s="22"/>
      <c r="KP57" s="22"/>
      <c r="KQ57" s="22"/>
      <c r="KR57" s="22"/>
      <c r="KS57" s="22"/>
      <c r="KT57" s="22"/>
      <c r="KU57" s="22"/>
      <c r="KV57" s="22"/>
      <c r="KW57" s="22"/>
      <c r="KX57" s="22"/>
      <c r="KY57" s="22"/>
      <c r="KZ57" s="22"/>
      <c r="LA57" s="22"/>
      <c r="LB57" s="22"/>
      <c r="LC57" s="22"/>
      <c r="LD57" s="22"/>
      <c r="LE57" s="22"/>
      <c r="LF57" s="22"/>
      <c r="LG57" s="22"/>
      <c r="LH57" s="22"/>
      <c r="LI57" s="22"/>
      <c r="LJ57" s="22"/>
      <c r="LK57" s="22"/>
      <c r="LL57" s="22"/>
      <c r="LM57" s="22"/>
      <c r="LN57" s="22"/>
      <c r="LO57" s="22"/>
      <c r="LP57" s="22"/>
      <c r="LQ57" s="22"/>
      <c r="LR57" s="22"/>
      <c r="LS57" s="22"/>
      <c r="LT57" s="22"/>
      <c r="LU57" s="22"/>
      <c r="LV57" s="22"/>
      <c r="LW57" s="22"/>
      <c r="LX57" s="22"/>
      <c r="LY57" s="22"/>
      <c r="LZ57" s="22"/>
      <c r="MA57" s="22"/>
      <c r="MB57" s="22"/>
      <c r="MC57" s="22"/>
      <c r="MD57" s="22"/>
      <c r="ME57" s="22"/>
      <c r="MF57" s="22"/>
      <c r="MG57" s="22"/>
      <c r="MH57" s="22"/>
      <c r="MI57" s="22"/>
      <c r="MJ57" s="22"/>
      <c r="MK57" s="22"/>
      <c r="ML57" s="22"/>
      <c r="MM57" s="22"/>
      <c r="MN57" s="22"/>
      <c r="MO57" s="22"/>
      <c r="MP57" s="22"/>
      <c r="MQ57" s="22"/>
      <c r="MR57" s="22"/>
      <c r="MS57" s="22"/>
      <c r="MT57" s="22"/>
      <c r="MU57" s="22"/>
      <c r="MV57" s="22"/>
      <c r="MW57" s="22"/>
      <c r="MX57" s="22"/>
      <c r="MY57" s="22"/>
      <c r="MZ57" s="22"/>
      <c r="NA57" s="22"/>
      <c r="NB57" s="22"/>
      <c r="NC57" s="22"/>
      <c r="ND57" s="22"/>
      <c r="NE57" s="22"/>
      <c r="NF57" s="22"/>
      <c r="NG57" s="22"/>
      <c r="NH57" s="22"/>
      <c r="NI57" s="22"/>
      <c r="NJ57" s="22"/>
      <c r="NK57" s="22"/>
      <c r="NL57" s="22"/>
      <c r="NM57" s="22"/>
      <c r="NN57" s="22"/>
      <c r="NO57" s="22"/>
      <c r="NP57" s="22"/>
      <c r="NQ57" s="22"/>
      <c r="NR57" s="22"/>
      <c r="NS57" s="22"/>
      <c r="NT57" s="22"/>
      <c r="NU57" s="22"/>
      <c r="NV57" s="22"/>
      <c r="NW57" s="22"/>
      <c r="NX57" s="22"/>
      <c r="NY57" s="22"/>
      <c r="NZ57" s="22"/>
      <c r="OA57" s="22"/>
      <c r="OB57" s="22"/>
      <c r="OC57" s="22"/>
      <c r="OD57" s="22"/>
      <c r="OE57" s="22"/>
      <c r="OF57" s="22"/>
      <c r="OG57" s="22"/>
      <c r="OH57" s="22"/>
      <c r="OI57" s="22"/>
      <c r="OJ57" s="22"/>
      <c r="OK57" s="22"/>
      <c r="OL57" s="22"/>
      <c r="OM57" s="22"/>
      <c r="ON57" s="22"/>
      <c r="OO57" s="22"/>
      <c r="OP57" s="22"/>
      <c r="OQ57" s="22"/>
      <c r="OR57" s="22"/>
      <c r="OS57" s="22"/>
      <c r="OT57" s="22"/>
      <c r="OU57" s="22"/>
      <c r="OV57" s="22"/>
      <c r="OW57" s="22"/>
      <c r="OX57" s="22"/>
      <c r="OY57" s="22"/>
      <c r="OZ57" s="22"/>
      <c r="PA57" s="22"/>
      <c r="PB57" s="22"/>
      <c r="PC57" s="22"/>
      <c r="PD57" s="22"/>
      <c r="PE57" s="22"/>
      <c r="PF57" s="22"/>
      <c r="PG57" s="22"/>
      <c r="PH57" s="22"/>
      <c r="PI57" s="22"/>
      <c r="PJ57" s="22"/>
      <c r="PK57" s="22"/>
      <c r="PL57" s="22"/>
      <c r="PM57" s="22"/>
      <c r="PN57" s="22"/>
      <c r="PO57" s="22"/>
      <c r="PP57" s="22"/>
      <c r="PQ57" s="22"/>
      <c r="PR57" s="22"/>
      <c r="PS57" s="22"/>
      <c r="PT57" s="22"/>
      <c r="PU57" s="22"/>
      <c r="PV57" s="22"/>
      <c r="PW57" s="22"/>
      <c r="PX57" s="22"/>
      <c r="PY57" s="22"/>
      <c r="PZ57" s="22"/>
      <c r="QA57" s="22"/>
      <c r="QB57" s="22"/>
      <c r="QC57" s="22"/>
      <c r="QD57" s="22"/>
      <c r="QE57" s="22"/>
      <c r="QF57" s="22"/>
      <c r="QG57" s="22"/>
      <c r="QH57" s="22"/>
      <c r="QI57" s="22"/>
      <c r="QJ57" s="22"/>
      <c r="QK57" s="22"/>
      <c r="QL57" s="22"/>
      <c r="QM57" s="22"/>
      <c r="QN57" s="22"/>
      <c r="QO57" s="22"/>
      <c r="QP57" s="22"/>
      <c r="QQ57" s="22"/>
      <c r="QR57" s="22"/>
      <c r="QS57" s="22"/>
      <c r="QT57" s="22"/>
      <c r="QU57" s="22"/>
      <c r="QV57" s="22"/>
      <c r="QW57" s="22"/>
      <c r="QX57" s="22"/>
      <c r="QY57" s="22"/>
      <c r="QZ57" s="22"/>
      <c r="RA57" s="22"/>
      <c r="RB57" s="22"/>
      <c r="RC57" s="22"/>
      <c r="RD57" s="22"/>
      <c r="RE57" s="22"/>
      <c r="RF57" s="22"/>
      <c r="RG57" s="22"/>
      <c r="RH57" s="22"/>
      <c r="RI57" s="22"/>
      <c r="RJ57" s="22"/>
      <c r="RK57" s="22"/>
      <c r="RL57" s="22"/>
      <c r="RM57" s="22"/>
      <c r="RN57" s="22"/>
      <c r="RO57" s="22"/>
      <c r="RP57" s="22"/>
      <c r="RQ57" s="22"/>
      <c r="RR57" s="22"/>
      <c r="RS57" s="22"/>
      <c r="RT57" s="22"/>
      <c r="RU57" s="22"/>
      <c r="RV57" s="22"/>
      <c r="RW57" s="22"/>
      <c r="RX57" s="22"/>
      <c r="RY57" s="22"/>
      <c r="RZ57" s="22"/>
      <c r="SA57" s="22"/>
      <c r="SB57" s="22"/>
      <c r="SC57" s="22"/>
      <c r="SD57" s="22"/>
      <c r="SE57" s="22"/>
      <c r="SF57" s="22"/>
      <c r="SG57" s="22"/>
      <c r="SH57" s="22"/>
      <c r="SI57" s="22"/>
      <c r="SJ57" s="22"/>
      <c r="SK57" s="22"/>
      <c r="SL57" s="22"/>
      <c r="SM57" s="22"/>
      <c r="SN57" s="22"/>
      <c r="SO57" s="22"/>
      <c r="SP57" s="22"/>
      <c r="SQ57" s="22"/>
      <c r="SR57" s="22"/>
      <c r="SS57" s="22"/>
      <c r="ST57" s="22"/>
      <c r="SU57" s="22"/>
      <c r="SV57" s="22"/>
      <c r="SW57" s="22"/>
      <c r="SX57" s="22"/>
      <c r="SY57" s="22"/>
      <c r="SZ57" s="22"/>
      <c r="TA57" s="22"/>
      <c r="TB57" s="22"/>
      <c r="TC57" s="22"/>
      <c r="TD57" s="22"/>
      <c r="TE57" s="22"/>
      <c r="TF57" s="22"/>
      <c r="TG57" s="22"/>
      <c r="TH57" s="22"/>
      <c r="TI57" s="22"/>
      <c r="TJ57" s="22"/>
      <c r="TK57" s="22"/>
      <c r="TL57" s="22"/>
      <c r="TM57" s="22"/>
      <c r="TN57" s="22"/>
      <c r="TO57" s="22"/>
      <c r="TP57" s="22"/>
      <c r="TQ57" s="22"/>
      <c r="TR57" s="22"/>
      <c r="TS57" s="22"/>
      <c r="TT57" s="22"/>
      <c r="TU57" s="22"/>
      <c r="TV57" s="22"/>
      <c r="TW57" s="22"/>
      <c r="TX57" s="22"/>
      <c r="TY57" s="22"/>
      <c r="TZ57" s="22"/>
      <c r="UA57" s="22"/>
      <c r="UB57" s="22"/>
      <c r="UC57" s="22"/>
      <c r="UD57" s="22"/>
      <c r="UE57" s="22"/>
      <c r="UF57" s="22"/>
      <c r="UG57" s="22"/>
      <c r="UH57" s="22"/>
      <c r="UI57" s="22"/>
      <c r="UJ57" s="22"/>
      <c r="UK57" s="22"/>
      <c r="UL57" s="22"/>
      <c r="UM57" s="22"/>
      <c r="UN57" s="22"/>
      <c r="UO57" s="22"/>
      <c r="UP57" s="22"/>
      <c r="UQ57" s="22"/>
      <c r="UR57" s="22"/>
      <c r="US57" s="22"/>
      <c r="UT57" s="22"/>
      <c r="UU57" s="22"/>
      <c r="UV57" s="22"/>
      <c r="UW57" s="22"/>
      <c r="UX57" s="22"/>
      <c r="UY57" s="22"/>
      <c r="UZ57" s="22"/>
      <c r="VA57" s="22"/>
      <c r="VB57" s="22"/>
      <c r="VC57" s="22"/>
      <c r="VD57" s="22"/>
      <c r="VE57" s="22"/>
      <c r="VF57" s="22"/>
      <c r="VG57" s="22"/>
      <c r="VH57" s="22"/>
      <c r="VI57" s="22"/>
      <c r="VJ57" s="22"/>
      <c r="VK57" s="22"/>
      <c r="VL57" s="22"/>
      <c r="VM57" s="22"/>
      <c r="VN57" s="22"/>
      <c r="VO57" s="22"/>
      <c r="VP57" s="22"/>
      <c r="VQ57" s="22"/>
      <c r="VR57" s="22"/>
      <c r="VS57" s="22"/>
      <c r="VT57" s="22"/>
      <c r="VU57" s="22"/>
      <c r="VV57" s="22"/>
      <c r="VW57" s="22"/>
      <c r="VX57" s="22"/>
      <c r="VY57" s="22"/>
      <c r="VZ57" s="22"/>
      <c r="WA57" s="22"/>
      <c r="WB57" s="22"/>
      <c r="WC57" s="22"/>
      <c r="WD57" s="22"/>
      <c r="WE57" s="22"/>
      <c r="WF57" s="22"/>
      <c r="WG57" s="22"/>
      <c r="WH57" s="22"/>
      <c r="WI57" s="22"/>
      <c r="WJ57" s="22"/>
      <c r="WK57" s="22"/>
      <c r="WL57" s="22"/>
      <c r="WM57" s="22"/>
      <c r="WN57" s="22"/>
      <c r="WO57" s="22"/>
      <c r="WP57" s="22"/>
      <c r="WQ57" s="22"/>
      <c r="WR57" s="22"/>
      <c r="WS57" s="22"/>
      <c r="WT57" s="22"/>
      <c r="WU57" s="22"/>
      <c r="WV57" s="22"/>
      <c r="WW57" s="22"/>
      <c r="WX57" s="22"/>
      <c r="WY57" s="22"/>
      <c r="WZ57" s="22"/>
      <c r="XA57" s="22"/>
      <c r="XB57" s="22"/>
      <c r="XC57" s="22"/>
      <c r="XD57" s="22"/>
      <c r="XE57" s="22"/>
      <c r="XF57" s="22"/>
      <c r="XG57" s="22"/>
      <c r="XH57" s="22"/>
      <c r="XI57" s="22"/>
      <c r="XJ57" s="22"/>
      <c r="XK57" s="22"/>
      <c r="XL57" s="22"/>
      <c r="XM57" s="22"/>
      <c r="XN57" s="22"/>
      <c r="XO57" s="22"/>
      <c r="XP57" s="22"/>
      <c r="XQ57" s="22"/>
      <c r="XR57" s="22"/>
      <c r="XS57" s="22"/>
      <c r="XT57" s="22"/>
      <c r="XU57" s="22"/>
      <c r="XV57" s="22"/>
      <c r="XW57" s="22"/>
      <c r="XX57" s="22"/>
      <c r="XY57" s="22"/>
      <c r="XZ57" s="22"/>
      <c r="YA57" s="22"/>
      <c r="YB57" s="22"/>
      <c r="YC57" s="22"/>
      <c r="YD57" s="22"/>
      <c r="YE57" s="22"/>
      <c r="YF57" s="22"/>
      <c r="YG57" s="22"/>
      <c r="YH57" s="22"/>
      <c r="YI57" s="22"/>
      <c r="YJ57" s="22"/>
      <c r="YK57" s="22"/>
      <c r="YL57" s="22"/>
      <c r="YM57" s="22"/>
      <c r="YN57" s="22"/>
      <c r="YO57" s="22"/>
      <c r="YP57" s="22"/>
      <c r="YQ57" s="22"/>
      <c r="YR57" s="22"/>
      <c r="YS57" s="22"/>
      <c r="YT57" s="22"/>
      <c r="YU57" s="22"/>
      <c r="YV57" s="22"/>
      <c r="YW57" s="22"/>
      <c r="YX57" s="22"/>
      <c r="YY57" s="22"/>
      <c r="YZ57" s="22"/>
      <c r="ZA57" s="22"/>
      <c r="ZB57" s="22"/>
      <c r="ZC57" s="22"/>
      <c r="ZD57" s="22"/>
      <c r="ZE57" s="22"/>
      <c r="ZF57" s="22"/>
      <c r="ZG57" s="22"/>
      <c r="ZH57" s="22"/>
      <c r="ZI57" s="22"/>
      <c r="ZJ57" s="22"/>
      <c r="ZK57" s="22"/>
      <c r="ZL57" s="22"/>
      <c r="ZM57" s="22"/>
      <c r="ZN57" s="22"/>
      <c r="ZO57" s="22"/>
      <c r="ZP57" s="22"/>
      <c r="ZQ57" s="22"/>
      <c r="ZR57" s="22"/>
      <c r="ZS57" s="22"/>
      <c r="ZT57" s="22"/>
      <c r="ZU57" s="22"/>
      <c r="ZV57" s="22"/>
      <c r="ZW57" s="22"/>
      <c r="ZX57" s="22"/>
      <c r="ZY57" s="22"/>
      <c r="ZZ57" s="22"/>
      <c r="AAA57" s="22"/>
      <c r="AAB57" s="22"/>
      <c r="AAC57" s="22"/>
      <c r="AAD57" s="22"/>
      <c r="AAE57" s="22"/>
      <c r="AAF57" s="22"/>
      <c r="AAG57" s="22"/>
      <c r="AAH57" s="22"/>
      <c r="AAI57" s="22"/>
      <c r="AAJ57" s="22"/>
      <c r="AAK57" s="22"/>
      <c r="AAL57" s="22"/>
      <c r="AAM57" s="22"/>
      <c r="AAN57" s="22"/>
      <c r="AAO57" s="22"/>
      <c r="AAP57" s="22"/>
      <c r="AAQ57" s="22"/>
      <c r="AAR57" s="22"/>
      <c r="AAS57" s="22"/>
      <c r="AAT57" s="22"/>
      <c r="AAU57" s="22"/>
      <c r="AAV57" s="22"/>
      <c r="AAW57" s="22"/>
      <c r="AAX57" s="22"/>
      <c r="AAY57" s="22"/>
      <c r="AAZ57" s="22"/>
      <c r="ABA57" s="22"/>
      <c r="ABB57" s="22"/>
      <c r="ABC57" s="22"/>
    </row>
    <row r="58" spans="1:731" ht="15" customHeight="1" x14ac:dyDescent="0.3">
      <c r="A58" s="414"/>
      <c r="B58" s="423"/>
      <c r="C58" s="8"/>
      <c r="D58" s="27" t="s">
        <v>11</v>
      </c>
      <c r="E58" s="73" t="s">
        <v>71</v>
      </c>
      <c r="F58" s="15">
        <f t="shared" si="70"/>
        <v>62.892261616246174</v>
      </c>
      <c r="G58" s="16">
        <f t="shared" si="70"/>
        <v>40.086263047146616</v>
      </c>
      <c r="H58" s="52">
        <f t="shared" si="64"/>
        <v>22.805998569099557</v>
      </c>
      <c r="I58" s="14">
        <f t="shared" si="1"/>
        <v>0.56892303835547753</v>
      </c>
      <c r="J58" s="15">
        <f>'[88]Summary - Apr 25'!$G$16/1000</f>
        <v>18775.302</v>
      </c>
      <c r="K58" s="74">
        <f>'[88]Summary - Apr 25'!$H$16/1000</f>
        <v>11967</v>
      </c>
      <c r="L58" s="52">
        <f t="shared" si="65"/>
        <v>6808.3019999999997</v>
      </c>
      <c r="M58" s="14">
        <f t="shared" si="21"/>
        <v>0.56892303835547753</v>
      </c>
      <c r="N58" s="15">
        <f>'[88]Summary - Apr 25'!$K$16/1000</f>
        <v>18775.302</v>
      </c>
      <c r="O58" s="74">
        <f>'[88]Summary - Apr 25'!$L$16/1000</f>
        <v>11967</v>
      </c>
      <c r="P58" s="52">
        <f t="shared" si="66"/>
        <v>6808.3019999999997</v>
      </c>
      <c r="Q58" s="14">
        <f t="shared" si="2"/>
        <v>0.56892303835547753</v>
      </c>
      <c r="R58" s="15">
        <f>0</f>
        <v>0</v>
      </c>
      <c r="S58" s="16">
        <f>0</f>
        <v>0</v>
      </c>
      <c r="T58" s="52">
        <f t="shared" si="67"/>
        <v>0</v>
      </c>
      <c r="U58" s="14" t="str">
        <f t="shared" si="30"/>
        <v/>
      </c>
      <c r="V58" s="15">
        <f>'[88]Summary - Apr 25'!$O$16/1000</f>
        <v>16582.809000000001</v>
      </c>
      <c r="W58" s="16">
        <f>'[88]Summary - Apr 25'!$P$16/1000</f>
        <v>8924</v>
      </c>
      <c r="X58" s="52">
        <f t="shared" si="68"/>
        <v>7658.8090000000011</v>
      </c>
      <c r="Y58" s="14">
        <v>0</v>
      </c>
      <c r="Z58" s="15">
        <f>'[88]Summary - Apr 25'!$S$16/1000</f>
        <v>2192.4929999999999</v>
      </c>
      <c r="AA58" s="74">
        <f>'[88]Summary - Apr 25'!$T$16/1000</f>
        <v>3043</v>
      </c>
      <c r="AB58" s="52">
        <f t="shared" si="69"/>
        <v>-850.50700000000006</v>
      </c>
      <c r="AC58" s="19">
        <f t="shared" si="5"/>
        <v>-0.2794962208347026</v>
      </c>
      <c r="AD58" s="123">
        <v>0</v>
      </c>
      <c r="AE58" s="139">
        <f>0</f>
        <v>0</v>
      </c>
      <c r="AF58" s="108">
        <f t="shared" si="6"/>
        <v>0</v>
      </c>
      <c r="AG58" s="113">
        <v>0</v>
      </c>
      <c r="AH58" s="57">
        <f>248796/1000</f>
        <v>248.79599999999999</v>
      </c>
      <c r="AI58" s="130">
        <v>0</v>
      </c>
      <c r="AJ58" s="108">
        <f>AD58-AI58</f>
        <v>0</v>
      </c>
      <c r="AK58" s="19">
        <v>0</v>
      </c>
      <c r="AL58" s="142">
        <f>'[88]Summary - Apr 25'!$S$16/1000</f>
        <v>2192.4929999999999</v>
      </c>
      <c r="AM58" s="133">
        <f>'[88]Summary - Apr 25'!$T$16/1000</f>
        <v>3043</v>
      </c>
      <c r="AN58" s="13">
        <f t="shared" si="9"/>
        <v>-850.50700000000006</v>
      </c>
      <c r="AO58" s="19">
        <f t="shared" si="10"/>
        <v>-0.2794962208347026</v>
      </c>
      <c r="AP58" s="51" t="s">
        <v>138</v>
      </c>
      <c r="AQ58" s="22"/>
      <c r="AR58" s="1">
        <f t="shared" si="11"/>
        <v>0</v>
      </c>
      <c r="AS58" s="1">
        <f t="shared" si="12"/>
        <v>0</v>
      </c>
      <c r="AT58" s="1">
        <f t="shared" si="13"/>
        <v>248.79599999999982</v>
      </c>
      <c r="AU58" s="1">
        <f t="shared" si="14"/>
        <v>0</v>
      </c>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22"/>
      <c r="GQ58" s="22"/>
      <c r="GR58" s="22"/>
      <c r="GS58" s="22"/>
      <c r="GT58" s="22"/>
      <c r="GU58" s="22"/>
      <c r="GV58" s="22"/>
      <c r="GW58" s="22"/>
      <c r="GX58" s="22"/>
      <c r="GY58" s="22"/>
      <c r="GZ58" s="22"/>
      <c r="HA58" s="22"/>
      <c r="HB58" s="22"/>
      <c r="HC58" s="22"/>
      <c r="HD58" s="22"/>
      <c r="HE58" s="22"/>
      <c r="HF58" s="22"/>
      <c r="HG58" s="22"/>
      <c r="HH58" s="22"/>
      <c r="HI58" s="22"/>
      <c r="HJ58" s="22"/>
      <c r="HK58" s="22"/>
      <c r="HL58" s="22"/>
      <c r="HM58" s="22"/>
      <c r="HN58" s="22"/>
      <c r="HO58" s="22"/>
      <c r="HP58" s="22"/>
      <c r="HQ58" s="22"/>
      <c r="HR58" s="22"/>
      <c r="HS58" s="22"/>
      <c r="HT58" s="22"/>
      <c r="HU58" s="22"/>
      <c r="HV58" s="22"/>
      <c r="HW58" s="22"/>
      <c r="HX58" s="22"/>
      <c r="HY58" s="22"/>
      <c r="HZ58" s="22"/>
      <c r="IA58" s="22"/>
      <c r="IB58" s="22"/>
      <c r="IC58" s="22"/>
      <c r="ID58" s="22"/>
      <c r="IE58" s="22"/>
      <c r="IF58" s="22"/>
      <c r="IG58" s="22"/>
      <c r="IH58" s="22"/>
      <c r="II58" s="22"/>
      <c r="IJ58" s="22"/>
      <c r="IK58" s="22"/>
      <c r="IL58" s="22"/>
      <c r="IM58" s="22"/>
      <c r="IN58" s="22"/>
      <c r="IO58" s="22"/>
      <c r="IP58" s="22"/>
      <c r="IQ58" s="22"/>
      <c r="IR58" s="22"/>
      <c r="IS58" s="22"/>
      <c r="IT58" s="22"/>
      <c r="IU58" s="22"/>
      <c r="IV58" s="22"/>
      <c r="IW58" s="22"/>
      <c r="IX58" s="22"/>
      <c r="IY58" s="22"/>
      <c r="IZ58" s="22"/>
      <c r="JA58" s="22"/>
      <c r="JB58" s="22"/>
      <c r="JC58" s="22"/>
      <c r="JD58" s="22"/>
      <c r="JE58" s="22"/>
      <c r="JJ58" s="22"/>
      <c r="JK58" s="22"/>
      <c r="JL58" s="22"/>
      <c r="JM58" s="22"/>
      <c r="JN58" s="22"/>
      <c r="JO58" s="22"/>
      <c r="JP58" s="22"/>
      <c r="JQ58" s="22"/>
      <c r="JR58" s="22"/>
      <c r="JS58" s="22"/>
      <c r="JT58" s="22"/>
      <c r="JU58" s="22"/>
      <c r="JV58" s="22"/>
      <c r="JW58" s="22"/>
      <c r="JX58" s="22"/>
      <c r="JY58" s="22"/>
      <c r="JZ58" s="22"/>
      <c r="KA58" s="22"/>
      <c r="KB58" s="22"/>
      <c r="KC58" s="22"/>
      <c r="KD58" s="22"/>
      <c r="KE58" s="22"/>
      <c r="KF58" s="22"/>
      <c r="KG58" s="22"/>
      <c r="KH58" s="22"/>
      <c r="KI58" s="22"/>
      <c r="KJ58" s="22"/>
      <c r="KK58" s="22"/>
      <c r="KL58" s="22"/>
      <c r="KM58" s="22"/>
      <c r="KN58" s="22"/>
      <c r="KO58" s="22"/>
      <c r="KP58" s="22"/>
      <c r="KQ58" s="22"/>
      <c r="KR58" s="22"/>
      <c r="KS58" s="22"/>
      <c r="KT58" s="22"/>
      <c r="KU58" s="22"/>
      <c r="KV58" s="22"/>
      <c r="KW58" s="22"/>
      <c r="KX58" s="22"/>
      <c r="KY58" s="22"/>
      <c r="KZ58" s="22"/>
      <c r="LA58" s="22"/>
      <c r="LB58" s="22"/>
      <c r="LC58" s="22"/>
      <c r="LD58" s="22"/>
      <c r="LE58" s="22"/>
      <c r="LF58" s="22"/>
      <c r="LG58" s="22"/>
      <c r="LH58" s="22"/>
      <c r="LI58" s="22"/>
      <c r="LJ58" s="22"/>
      <c r="LK58" s="22"/>
      <c r="LL58" s="22"/>
      <c r="LM58" s="22"/>
      <c r="LN58" s="22"/>
      <c r="LO58" s="22"/>
      <c r="LP58" s="22"/>
      <c r="LQ58" s="22"/>
      <c r="LR58" s="22"/>
      <c r="LS58" s="22"/>
      <c r="LT58" s="22"/>
      <c r="LU58" s="22"/>
      <c r="LV58" s="22"/>
      <c r="LW58" s="22"/>
      <c r="LX58" s="22"/>
      <c r="LY58" s="22"/>
      <c r="LZ58" s="22"/>
      <c r="MA58" s="22"/>
      <c r="MB58" s="22"/>
      <c r="MC58" s="22"/>
      <c r="MD58" s="22"/>
      <c r="ME58" s="22"/>
      <c r="MF58" s="22"/>
      <c r="MG58" s="22"/>
      <c r="MH58" s="22"/>
      <c r="MI58" s="22"/>
      <c r="MJ58" s="22"/>
      <c r="MK58" s="22"/>
      <c r="ML58" s="22"/>
      <c r="MM58" s="22"/>
      <c r="MN58" s="22"/>
      <c r="MO58" s="22"/>
      <c r="MP58" s="22"/>
      <c r="MQ58" s="22"/>
      <c r="MR58" s="22"/>
      <c r="MS58" s="22"/>
      <c r="MT58" s="22"/>
      <c r="MU58" s="22"/>
      <c r="MV58" s="22"/>
      <c r="MW58" s="22"/>
      <c r="MX58" s="22"/>
      <c r="MY58" s="22"/>
      <c r="MZ58" s="22"/>
      <c r="NA58" s="22"/>
      <c r="NB58" s="22"/>
      <c r="NC58" s="22"/>
      <c r="ND58" s="22"/>
      <c r="NE58" s="22"/>
      <c r="NF58" s="22"/>
      <c r="NG58" s="22"/>
      <c r="NH58" s="22"/>
      <c r="NI58" s="22"/>
      <c r="NJ58" s="22"/>
      <c r="NK58" s="22"/>
      <c r="NL58" s="22"/>
      <c r="NM58" s="22"/>
      <c r="NN58" s="22"/>
      <c r="NO58" s="22"/>
      <c r="NP58" s="22"/>
      <c r="NQ58" s="22"/>
      <c r="NR58" s="22"/>
      <c r="NS58" s="22"/>
      <c r="NT58" s="22"/>
      <c r="NU58" s="22"/>
      <c r="NV58" s="22"/>
      <c r="NW58" s="22"/>
      <c r="NX58" s="22"/>
      <c r="NY58" s="22"/>
      <c r="NZ58" s="22"/>
      <c r="OA58" s="22"/>
      <c r="OB58" s="22"/>
      <c r="OC58" s="22"/>
      <c r="OD58" s="22"/>
      <c r="OE58" s="22"/>
      <c r="OF58" s="22"/>
      <c r="OG58" s="22"/>
      <c r="OH58" s="22"/>
      <c r="OI58" s="22"/>
      <c r="OJ58" s="22"/>
      <c r="OK58" s="22"/>
      <c r="OL58" s="22"/>
      <c r="OM58" s="22"/>
      <c r="ON58" s="22"/>
      <c r="OO58" s="22"/>
      <c r="OP58" s="22"/>
      <c r="OQ58" s="22"/>
      <c r="OR58" s="22"/>
      <c r="OS58" s="22"/>
      <c r="OT58" s="22"/>
      <c r="OU58" s="22"/>
      <c r="OV58" s="22"/>
      <c r="OW58" s="22"/>
      <c r="OX58" s="22"/>
      <c r="OY58" s="22"/>
      <c r="OZ58" s="22"/>
      <c r="PA58" s="22"/>
      <c r="PB58" s="22"/>
      <c r="PC58" s="22"/>
      <c r="PD58" s="22"/>
      <c r="PE58" s="22"/>
      <c r="PF58" s="22"/>
      <c r="PG58" s="22"/>
      <c r="PH58" s="22"/>
      <c r="PI58" s="22"/>
      <c r="PJ58" s="22"/>
      <c r="PK58" s="22"/>
      <c r="PL58" s="22"/>
      <c r="PM58" s="22"/>
      <c r="PN58" s="22"/>
      <c r="PO58" s="22"/>
      <c r="PP58" s="22"/>
      <c r="PQ58" s="22"/>
      <c r="PR58" s="22"/>
      <c r="PS58" s="22"/>
      <c r="PT58" s="22"/>
      <c r="PU58" s="22"/>
      <c r="PV58" s="22"/>
      <c r="PW58" s="22"/>
      <c r="PX58" s="22"/>
      <c r="PY58" s="22"/>
      <c r="PZ58" s="22"/>
      <c r="QA58" s="22"/>
      <c r="QB58" s="22"/>
      <c r="QC58" s="22"/>
      <c r="QD58" s="22"/>
      <c r="QE58" s="22"/>
      <c r="QF58" s="22"/>
      <c r="QG58" s="22"/>
      <c r="QH58" s="22"/>
      <c r="QI58" s="22"/>
      <c r="QJ58" s="22"/>
      <c r="QK58" s="22"/>
      <c r="QL58" s="22"/>
      <c r="QM58" s="22"/>
      <c r="QN58" s="22"/>
      <c r="QO58" s="22"/>
      <c r="QP58" s="22"/>
      <c r="QQ58" s="22"/>
      <c r="QR58" s="22"/>
      <c r="QS58" s="22"/>
      <c r="QT58" s="22"/>
      <c r="QU58" s="22"/>
      <c r="QV58" s="22"/>
      <c r="QW58" s="22"/>
      <c r="QX58" s="22"/>
      <c r="QY58" s="22"/>
      <c r="QZ58" s="22"/>
      <c r="RA58" s="22"/>
      <c r="RB58" s="22"/>
      <c r="RC58" s="22"/>
      <c r="RD58" s="22"/>
      <c r="RE58" s="22"/>
      <c r="RF58" s="22"/>
      <c r="RG58" s="22"/>
      <c r="RH58" s="22"/>
      <c r="RI58" s="22"/>
      <c r="RJ58" s="22"/>
      <c r="RK58" s="22"/>
      <c r="RL58" s="22"/>
      <c r="RM58" s="22"/>
      <c r="RN58" s="22"/>
      <c r="RO58" s="22"/>
      <c r="RP58" s="22"/>
      <c r="RQ58" s="22"/>
      <c r="RR58" s="22"/>
      <c r="RS58" s="22"/>
      <c r="RT58" s="22"/>
      <c r="RU58" s="22"/>
      <c r="RV58" s="22"/>
      <c r="RW58" s="22"/>
      <c r="RX58" s="22"/>
      <c r="RY58" s="22"/>
      <c r="RZ58" s="22"/>
      <c r="SA58" s="22"/>
      <c r="SB58" s="22"/>
      <c r="SC58" s="22"/>
      <c r="SD58" s="22"/>
      <c r="SE58" s="22"/>
      <c r="SF58" s="22"/>
      <c r="SG58" s="22"/>
      <c r="SH58" s="22"/>
      <c r="SI58" s="22"/>
      <c r="SJ58" s="22"/>
      <c r="SK58" s="22"/>
      <c r="SL58" s="22"/>
      <c r="SM58" s="22"/>
      <c r="SN58" s="22"/>
      <c r="SO58" s="22"/>
      <c r="SP58" s="22"/>
      <c r="SQ58" s="22"/>
      <c r="SR58" s="22"/>
      <c r="SS58" s="22"/>
      <c r="ST58" s="22"/>
      <c r="SU58" s="22"/>
      <c r="SV58" s="22"/>
      <c r="SW58" s="22"/>
      <c r="SX58" s="22"/>
      <c r="SY58" s="22"/>
      <c r="SZ58" s="22"/>
      <c r="TA58" s="22"/>
      <c r="TB58" s="22"/>
      <c r="TC58" s="22"/>
      <c r="TD58" s="22"/>
      <c r="TE58" s="22"/>
      <c r="TF58" s="22"/>
      <c r="TG58" s="22"/>
      <c r="TH58" s="22"/>
      <c r="TI58" s="22"/>
      <c r="TJ58" s="22"/>
      <c r="TK58" s="22"/>
      <c r="TL58" s="22"/>
      <c r="TM58" s="22"/>
      <c r="TN58" s="22"/>
      <c r="TO58" s="22"/>
      <c r="TP58" s="22"/>
      <c r="TQ58" s="22"/>
      <c r="TR58" s="22"/>
      <c r="TS58" s="22"/>
      <c r="TT58" s="22"/>
      <c r="TU58" s="22"/>
      <c r="TV58" s="22"/>
      <c r="TW58" s="22"/>
      <c r="TX58" s="22"/>
      <c r="TY58" s="22"/>
      <c r="TZ58" s="22"/>
      <c r="UA58" s="22"/>
      <c r="UB58" s="22"/>
      <c r="UC58" s="22"/>
      <c r="UD58" s="22"/>
      <c r="UE58" s="22"/>
      <c r="UF58" s="22"/>
      <c r="UG58" s="22"/>
      <c r="UH58" s="22"/>
      <c r="UI58" s="22"/>
      <c r="UJ58" s="22"/>
      <c r="UK58" s="22"/>
      <c r="UL58" s="22"/>
      <c r="UM58" s="22"/>
      <c r="UN58" s="22"/>
      <c r="UO58" s="22"/>
      <c r="UP58" s="22"/>
      <c r="UQ58" s="22"/>
      <c r="UR58" s="22"/>
      <c r="US58" s="22"/>
      <c r="UT58" s="22"/>
      <c r="UU58" s="22"/>
      <c r="UV58" s="22"/>
      <c r="UW58" s="22"/>
      <c r="UX58" s="22"/>
      <c r="UY58" s="22"/>
      <c r="UZ58" s="22"/>
      <c r="VA58" s="22"/>
      <c r="VB58" s="22"/>
      <c r="VC58" s="22"/>
      <c r="VD58" s="22"/>
      <c r="VE58" s="22"/>
      <c r="VF58" s="22"/>
      <c r="VG58" s="22"/>
      <c r="VH58" s="22"/>
      <c r="VI58" s="22"/>
      <c r="VJ58" s="22"/>
      <c r="VK58" s="22"/>
      <c r="VL58" s="22"/>
      <c r="VM58" s="22"/>
      <c r="VN58" s="22"/>
      <c r="VO58" s="22"/>
      <c r="VP58" s="22"/>
      <c r="VQ58" s="22"/>
      <c r="VR58" s="22"/>
      <c r="VS58" s="22"/>
      <c r="VT58" s="22"/>
      <c r="VU58" s="22"/>
      <c r="VV58" s="22"/>
      <c r="VW58" s="22"/>
      <c r="VX58" s="22"/>
      <c r="VY58" s="22"/>
      <c r="VZ58" s="22"/>
      <c r="WA58" s="22"/>
      <c r="WB58" s="22"/>
      <c r="WC58" s="22"/>
      <c r="WD58" s="22"/>
      <c r="WE58" s="22"/>
      <c r="WF58" s="22"/>
      <c r="WG58" s="22"/>
      <c r="WH58" s="22"/>
      <c r="WI58" s="22"/>
      <c r="WJ58" s="22"/>
      <c r="WK58" s="22"/>
      <c r="WL58" s="22"/>
      <c r="WM58" s="22"/>
      <c r="WN58" s="22"/>
      <c r="WO58" s="22"/>
      <c r="WP58" s="22"/>
      <c r="WQ58" s="22"/>
      <c r="WR58" s="22"/>
      <c r="WS58" s="22"/>
      <c r="WT58" s="22"/>
      <c r="WU58" s="22"/>
      <c r="WV58" s="22"/>
      <c r="WW58" s="22"/>
      <c r="WX58" s="22"/>
      <c r="WY58" s="22"/>
      <c r="WZ58" s="22"/>
      <c r="XA58" s="22"/>
      <c r="XB58" s="22"/>
      <c r="XC58" s="22"/>
      <c r="XD58" s="22"/>
      <c r="XE58" s="22"/>
      <c r="XF58" s="22"/>
      <c r="XG58" s="22"/>
      <c r="XH58" s="22"/>
      <c r="XI58" s="22"/>
      <c r="XJ58" s="22"/>
      <c r="XK58" s="22"/>
      <c r="XL58" s="22"/>
      <c r="XM58" s="22"/>
      <c r="XN58" s="22"/>
      <c r="XO58" s="22"/>
      <c r="XP58" s="22"/>
      <c r="XQ58" s="22"/>
      <c r="XR58" s="22"/>
      <c r="XS58" s="22"/>
      <c r="XT58" s="22"/>
      <c r="XU58" s="22"/>
      <c r="XV58" s="22"/>
      <c r="XW58" s="22"/>
      <c r="XX58" s="22"/>
      <c r="XY58" s="22"/>
      <c r="XZ58" s="22"/>
      <c r="YA58" s="22"/>
      <c r="YB58" s="22"/>
      <c r="YC58" s="22"/>
      <c r="YD58" s="22"/>
      <c r="YE58" s="22"/>
      <c r="YF58" s="22"/>
      <c r="YG58" s="22"/>
      <c r="YH58" s="22"/>
      <c r="YI58" s="22"/>
      <c r="YJ58" s="22"/>
      <c r="YK58" s="22"/>
      <c r="YL58" s="22"/>
      <c r="YM58" s="22"/>
      <c r="YN58" s="22"/>
      <c r="YO58" s="22"/>
      <c r="YP58" s="22"/>
      <c r="YQ58" s="22"/>
      <c r="YR58" s="22"/>
      <c r="YS58" s="22"/>
      <c r="YT58" s="22"/>
      <c r="YU58" s="22"/>
      <c r="YV58" s="22"/>
      <c r="YW58" s="22"/>
      <c r="YX58" s="22"/>
      <c r="YY58" s="22"/>
      <c r="YZ58" s="22"/>
      <c r="ZA58" s="22"/>
      <c r="ZB58" s="22"/>
      <c r="ZC58" s="22"/>
      <c r="ZD58" s="22"/>
      <c r="ZE58" s="22"/>
      <c r="ZF58" s="22"/>
      <c r="ZG58" s="22"/>
      <c r="ZH58" s="22"/>
      <c r="ZI58" s="22"/>
      <c r="ZJ58" s="22"/>
      <c r="ZK58" s="22"/>
      <c r="ZL58" s="22"/>
      <c r="ZM58" s="22"/>
      <c r="ZN58" s="22"/>
      <c r="ZO58" s="22"/>
      <c r="ZP58" s="22"/>
      <c r="ZQ58" s="22"/>
      <c r="ZR58" s="22"/>
      <c r="ZS58" s="22"/>
      <c r="ZT58" s="22"/>
      <c r="ZU58" s="22"/>
      <c r="ZV58" s="22"/>
      <c r="ZW58" s="22"/>
      <c r="ZX58" s="22"/>
      <c r="ZY58" s="22"/>
      <c r="ZZ58" s="22"/>
      <c r="AAA58" s="22"/>
      <c r="AAB58" s="22"/>
      <c r="AAC58" s="22"/>
      <c r="AAD58" s="22"/>
      <c r="AAE58" s="22"/>
      <c r="AAF58" s="22"/>
      <c r="AAG58" s="22"/>
      <c r="AAH58" s="22"/>
      <c r="AAI58" s="22"/>
      <c r="AAJ58" s="22"/>
      <c r="AAK58" s="22"/>
      <c r="AAL58" s="22"/>
      <c r="AAM58" s="22"/>
      <c r="AAN58" s="22"/>
      <c r="AAO58" s="22"/>
      <c r="AAP58" s="22"/>
      <c r="AAQ58" s="22"/>
      <c r="AAR58" s="22"/>
      <c r="AAS58" s="22"/>
      <c r="AAT58" s="22"/>
      <c r="AAU58" s="22"/>
      <c r="AAV58" s="22"/>
      <c r="AAW58" s="22"/>
      <c r="AAX58" s="22"/>
      <c r="AAY58" s="22"/>
      <c r="AAZ58" s="22"/>
      <c r="ABA58" s="22"/>
      <c r="ABB58" s="22"/>
      <c r="ABC58" s="22"/>
    </row>
    <row r="59" spans="1:731" ht="15" customHeight="1" thickBot="1" x14ac:dyDescent="0.35">
      <c r="A59" s="413"/>
      <c r="B59" s="424"/>
      <c r="C59" s="168"/>
      <c r="D59" s="155" t="s">
        <v>11</v>
      </c>
      <c r="E59" s="180" t="s">
        <v>72</v>
      </c>
      <c r="F59" s="151">
        <f>J59/$F$2</f>
        <v>1.1829283043981285</v>
      </c>
      <c r="G59" s="150">
        <f>K59/$F$2</f>
        <v>1.0116195738479383</v>
      </c>
      <c r="H59" s="31">
        <f t="shared" si="64"/>
        <v>0.17130873055019014</v>
      </c>
      <c r="I59" s="156">
        <f t="shared" si="1"/>
        <v>0.16934105960264903</v>
      </c>
      <c r="J59" s="151">
        <f>'[88]Summary - Apr 25'!$G$17/1000</f>
        <v>353.14100000000002</v>
      </c>
      <c r="K59" s="157">
        <f>'[88]Summary - Apr 25'!$H$17/1000</f>
        <v>302</v>
      </c>
      <c r="L59" s="31">
        <f t="shared" si="65"/>
        <v>51.14100000000002</v>
      </c>
      <c r="M59" s="156">
        <f t="shared" si="21"/>
        <v>0.16934105960264906</v>
      </c>
      <c r="N59" s="151">
        <f>'[88]Summary - Apr 25'!$K$17/1000</f>
        <v>353.14100000000002</v>
      </c>
      <c r="O59" s="157">
        <f>'[88]Summary - Apr 25'!$L$17/1000</f>
        <v>302</v>
      </c>
      <c r="P59" s="31">
        <f t="shared" si="66"/>
        <v>51.14100000000002</v>
      </c>
      <c r="Q59" s="156">
        <f t="shared" si="2"/>
        <v>0.16934105960264906</v>
      </c>
      <c r="R59" s="151">
        <f>0</f>
        <v>0</v>
      </c>
      <c r="S59" s="150">
        <f>300/1000</f>
        <v>0.3</v>
      </c>
      <c r="T59" s="31">
        <f t="shared" si="67"/>
        <v>-0.3</v>
      </c>
      <c r="U59" s="156">
        <f t="shared" si="30"/>
        <v>-1</v>
      </c>
      <c r="V59" s="151">
        <f>'[88]Summary - Apr 25'!$O$17/1000</f>
        <v>48.317</v>
      </c>
      <c r="W59" s="150">
        <f>'[88]Summary - Apr 25'!$P$17/1000</f>
        <v>141</v>
      </c>
      <c r="X59" s="31">
        <f t="shared" si="68"/>
        <v>-92.682999999999993</v>
      </c>
      <c r="Y59" s="156">
        <f t="shared" si="4"/>
        <v>-0.65732624113475169</v>
      </c>
      <c r="Z59" s="151">
        <f>'[88]Summary - Apr 25'!$S$17/1000</f>
        <v>304.82400000000001</v>
      </c>
      <c r="AA59" s="157">
        <f>'[88]Summary - Apr 25'!$T$17/1000</f>
        <v>161</v>
      </c>
      <c r="AB59" s="31">
        <f t="shared" si="69"/>
        <v>143.82400000000001</v>
      </c>
      <c r="AC59" s="158">
        <f t="shared" si="5"/>
        <v>0.89331677018633548</v>
      </c>
      <c r="AD59" s="159">
        <f>0</f>
        <v>0</v>
      </c>
      <c r="AE59" s="160">
        <f>0</f>
        <v>0</v>
      </c>
      <c r="AF59" s="161">
        <f t="shared" si="6"/>
        <v>0</v>
      </c>
      <c r="AG59" s="162" t="str">
        <f t="shared" si="7"/>
        <v/>
      </c>
      <c r="AH59" s="175">
        <v>0</v>
      </c>
      <c r="AI59" s="163">
        <v>0</v>
      </c>
      <c r="AJ59" s="161">
        <f t="shared" si="8"/>
        <v>0</v>
      </c>
      <c r="AK59" s="158">
        <v>0</v>
      </c>
      <c r="AL59" s="210">
        <f>'[88]Summary - Apr 25'!$S$17/1000</f>
        <v>304.82400000000001</v>
      </c>
      <c r="AM59" s="164">
        <f>'[88]Summary - Apr 25'!$T$17/1000</f>
        <v>161</v>
      </c>
      <c r="AN59" s="165">
        <f t="shared" si="9"/>
        <v>143.82400000000001</v>
      </c>
      <c r="AO59" s="158">
        <f t="shared" si="10"/>
        <v>0.89331677018633548</v>
      </c>
      <c r="AP59" s="51" t="s">
        <v>139</v>
      </c>
      <c r="AQ59" s="22"/>
      <c r="AR59" s="1">
        <f t="shared" si="11"/>
        <v>0</v>
      </c>
      <c r="AS59" s="1">
        <f t="shared" si="12"/>
        <v>0.30000000000001137</v>
      </c>
      <c r="AT59" s="1">
        <f t="shared" si="13"/>
        <v>0</v>
      </c>
      <c r="AU59" s="1">
        <f t="shared" si="14"/>
        <v>0</v>
      </c>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c r="FT59" s="22"/>
      <c r="FU59" s="22"/>
      <c r="FV59" s="22"/>
      <c r="FW59" s="22"/>
      <c r="FX59" s="22"/>
      <c r="FY59" s="22"/>
      <c r="FZ59" s="22"/>
      <c r="GA59" s="22"/>
      <c r="GB59" s="22"/>
      <c r="GC59" s="22"/>
      <c r="GD59" s="22"/>
      <c r="GE59" s="22"/>
      <c r="GF59" s="22"/>
      <c r="GG59" s="22"/>
      <c r="GH59" s="22"/>
      <c r="GI59" s="22"/>
      <c r="GJ59" s="22"/>
      <c r="GK59" s="22"/>
      <c r="GL59" s="22"/>
      <c r="GM59" s="22"/>
      <c r="GN59" s="22"/>
      <c r="GO59" s="22"/>
      <c r="GP59" s="22"/>
      <c r="GQ59" s="22"/>
      <c r="GR59" s="22"/>
      <c r="GS59" s="22"/>
      <c r="GT59" s="22"/>
      <c r="GU59" s="22"/>
      <c r="GV59" s="22"/>
      <c r="GW59" s="22"/>
      <c r="GX59" s="22"/>
      <c r="GY59" s="22"/>
      <c r="GZ59" s="22"/>
      <c r="HA59" s="22"/>
      <c r="HB59" s="22"/>
      <c r="HC59" s="22"/>
      <c r="HD59" s="22"/>
      <c r="HE59" s="22"/>
      <c r="HF59" s="22"/>
      <c r="HG59" s="22"/>
      <c r="HH59" s="22"/>
      <c r="HI59" s="22"/>
      <c r="HJ59" s="22"/>
      <c r="HK59" s="22"/>
      <c r="HL59" s="22"/>
      <c r="HM59" s="22"/>
      <c r="HN59" s="22"/>
      <c r="HO59" s="22"/>
      <c r="HP59" s="22"/>
      <c r="HQ59" s="22"/>
      <c r="HR59" s="22"/>
      <c r="HS59" s="22"/>
      <c r="HT59" s="22"/>
      <c r="HU59" s="22"/>
      <c r="HV59" s="22"/>
      <c r="HW59" s="22"/>
      <c r="HX59" s="22"/>
      <c r="HY59" s="22"/>
      <c r="HZ59" s="22"/>
      <c r="IA59" s="22"/>
      <c r="IB59" s="22"/>
      <c r="IC59" s="22"/>
      <c r="ID59" s="22"/>
      <c r="IE59" s="22"/>
      <c r="IF59" s="22"/>
      <c r="IG59" s="22"/>
      <c r="IH59" s="22"/>
      <c r="II59" s="22"/>
      <c r="IJ59" s="22"/>
      <c r="IK59" s="22"/>
      <c r="IL59" s="22"/>
      <c r="IM59" s="22"/>
      <c r="IN59" s="22"/>
      <c r="IO59" s="22"/>
      <c r="IP59" s="22"/>
      <c r="IQ59" s="22"/>
      <c r="IR59" s="22"/>
      <c r="IS59" s="22"/>
      <c r="IT59" s="22"/>
      <c r="IU59" s="22"/>
      <c r="IV59" s="22"/>
      <c r="IW59" s="22"/>
      <c r="IX59" s="22"/>
      <c r="IY59" s="22"/>
      <c r="IZ59" s="22"/>
      <c r="JA59" s="22"/>
      <c r="JB59" s="22"/>
      <c r="JC59" s="22"/>
      <c r="JD59" s="22"/>
      <c r="JE59" s="22"/>
      <c r="JJ59" s="22"/>
      <c r="JK59" s="22"/>
      <c r="JL59" s="22"/>
      <c r="JM59" s="22"/>
      <c r="JN59" s="22"/>
      <c r="JO59" s="22"/>
      <c r="JP59" s="22"/>
      <c r="JQ59" s="22"/>
      <c r="JR59" s="22"/>
      <c r="JS59" s="22"/>
      <c r="JT59" s="22"/>
      <c r="JU59" s="22"/>
      <c r="JV59" s="22"/>
      <c r="JW59" s="22"/>
      <c r="JX59" s="22"/>
      <c r="JY59" s="22"/>
      <c r="JZ59" s="22"/>
      <c r="KA59" s="22"/>
      <c r="KB59" s="22"/>
      <c r="KC59" s="22"/>
      <c r="KD59" s="22"/>
      <c r="KE59" s="22"/>
      <c r="KF59" s="22"/>
      <c r="KG59" s="22"/>
      <c r="KH59" s="22"/>
      <c r="KI59" s="22"/>
      <c r="KJ59" s="22"/>
      <c r="KK59" s="22"/>
      <c r="KL59" s="22"/>
      <c r="KM59" s="22"/>
      <c r="KN59" s="22"/>
      <c r="KO59" s="22"/>
      <c r="KP59" s="22"/>
      <c r="KQ59" s="22"/>
      <c r="KR59" s="22"/>
      <c r="KS59" s="22"/>
      <c r="KT59" s="22"/>
      <c r="KU59" s="22"/>
      <c r="KV59" s="22"/>
      <c r="KW59" s="22"/>
      <c r="KX59" s="22"/>
      <c r="KY59" s="22"/>
      <c r="KZ59" s="22"/>
      <c r="LA59" s="22"/>
      <c r="LB59" s="22"/>
      <c r="LC59" s="22"/>
      <c r="LD59" s="22"/>
      <c r="LE59" s="22"/>
      <c r="LF59" s="22"/>
      <c r="LG59" s="22"/>
      <c r="LH59" s="22"/>
      <c r="LI59" s="22"/>
      <c r="LJ59" s="22"/>
      <c r="LK59" s="22"/>
      <c r="LL59" s="22"/>
      <c r="LM59" s="22"/>
      <c r="LN59" s="22"/>
      <c r="LO59" s="22"/>
      <c r="LP59" s="22"/>
      <c r="LQ59" s="22"/>
      <c r="LR59" s="22"/>
      <c r="LS59" s="22"/>
      <c r="LT59" s="22"/>
      <c r="LU59" s="22"/>
      <c r="LV59" s="22"/>
      <c r="LW59" s="22"/>
      <c r="LX59" s="22"/>
      <c r="LY59" s="22"/>
      <c r="LZ59" s="22"/>
      <c r="MA59" s="22"/>
      <c r="MB59" s="22"/>
      <c r="MC59" s="22"/>
      <c r="MD59" s="22"/>
      <c r="ME59" s="22"/>
      <c r="MF59" s="22"/>
      <c r="MG59" s="22"/>
      <c r="MH59" s="22"/>
      <c r="MI59" s="22"/>
      <c r="MJ59" s="22"/>
      <c r="MK59" s="22"/>
      <c r="ML59" s="22"/>
      <c r="MM59" s="22"/>
      <c r="MN59" s="22"/>
      <c r="MO59" s="22"/>
      <c r="MP59" s="22"/>
      <c r="MQ59" s="22"/>
      <c r="MR59" s="22"/>
      <c r="MS59" s="22"/>
      <c r="MT59" s="22"/>
      <c r="MU59" s="22"/>
      <c r="MV59" s="22"/>
      <c r="MW59" s="22"/>
      <c r="MX59" s="22"/>
      <c r="MY59" s="22"/>
      <c r="MZ59" s="22"/>
      <c r="NA59" s="22"/>
      <c r="NB59" s="22"/>
      <c r="NC59" s="22"/>
      <c r="ND59" s="22"/>
      <c r="NE59" s="22"/>
      <c r="NF59" s="22"/>
      <c r="NG59" s="22"/>
      <c r="NH59" s="22"/>
      <c r="NI59" s="22"/>
      <c r="NJ59" s="22"/>
      <c r="NK59" s="22"/>
      <c r="NL59" s="22"/>
      <c r="NM59" s="22"/>
      <c r="NN59" s="22"/>
      <c r="NO59" s="22"/>
      <c r="NP59" s="22"/>
      <c r="NQ59" s="22"/>
      <c r="NR59" s="22"/>
      <c r="NS59" s="22"/>
      <c r="NT59" s="22"/>
      <c r="NU59" s="22"/>
      <c r="NV59" s="22"/>
      <c r="NW59" s="22"/>
      <c r="NX59" s="22"/>
      <c r="NY59" s="22"/>
      <c r="NZ59" s="22"/>
      <c r="OA59" s="22"/>
      <c r="OB59" s="22"/>
      <c r="OC59" s="22"/>
      <c r="OD59" s="22"/>
      <c r="OE59" s="22"/>
      <c r="OF59" s="22"/>
      <c r="OG59" s="22"/>
      <c r="OH59" s="22"/>
      <c r="OI59" s="22"/>
      <c r="OJ59" s="22"/>
      <c r="OK59" s="22"/>
      <c r="OL59" s="22"/>
      <c r="OM59" s="22"/>
      <c r="ON59" s="22"/>
      <c r="OO59" s="22"/>
      <c r="OP59" s="22"/>
      <c r="OQ59" s="22"/>
      <c r="OR59" s="22"/>
      <c r="OS59" s="22"/>
      <c r="OT59" s="22"/>
      <c r="OU59" s="22"/>
      <c r="OV59" s="22"/>
      <c r="OW59" s="22"/>
      <c r="OX59" s="22"/>
      <c r="OY59" s="22"/>
      <c r="OZ59" s="22"/>
      <c r="PA59" s="22"/>
      <c r="PB59" s="22"/>
      <c r="PC59" s="22"/>
      <c r="PD59" s="22"/>
      <c r="PE59" s="22"/>
      <c r="PF59" s="22"/>
      <c r="PG59" s="22"/>
      <c r="PH59" s="22"/>
      <c r="PI59" s="22"/>
      <c r="PJ59" s="22"/>
      <c r="PK59" s="22"/>
      <c r="PL59" s="22"/>
      <c r="PM59" s="22"/>
      <c r="PN59" s="22"/>
      <c r="PO59" s="22"/>
      <c r="PP59" s="22"/>
      <c r="PQ59" s="22"/>
      <c r="PR59" s="22"/>
      <c r="PS59" s="22"/>
      <c r="PT59" s="22"/>
      <c r="PU59" s="22"/>
      <c r="PV59" s="22"/>
      <c r="PW59" s="22"/>
      <c r="PX59" s="22"/>
      <c r="PY59" s="22"/>
      <c r="PZ59" s="22"/>
      <c r="QA59" s="22"/>
      <c r="QB59" s="22"/>
      <c r="QC59" s="22"/>
      <c r="QD59" s="22"/>
      <c r="QE59" s="22"/>
      <c r="QF59" s="22"/>
      <c r="QG59" s="22"/>
      <c r="QH59" s="22"/>
      <c r="QI59" s="22"/>
      <c r="QJ59" s="22"/>
      <c r="QK59" s="22"/>
      <c r="QL59" s="22"/>
      <c r="QM59" s="22"/>
      <c r="QN59" s="22"/>
      <c r="QO59" s="22"/>
      <c r="QP59" s="22"/>
      <c r="QQ59" s="22"/>
      <c r="QR59" s="22"/>
      <c r="QS59" s="22"/>
      <c r="QT59" s="22"/>
      <c r="QU59" s="22"/>
      <c r="QV59" s="22"/>
      <c r="QW59" s="22"/>
      <c r="QX59" s="22"/>
      <c r="QY59" s="22"/>
      <c r="QZ59" s="22"/>
      <c r="RA59" s="22"/>
      <c r="RB59" s="22"/>
      <c r="RC59" s="22"/>
      <c r="RD59" s="22"/>
      <c r="RE59" s="22"/>
      <c r="RF59" s="22"/>
      <c r="RG59" s="22"/>
      <c r="RH59" s="22"/>
      <c r="RI59" s="22"/>
      <c r="RJ59" s="22"/>
      <c r="RK59" s="22"/>
      <c r="RL59" s="22"/>
      <c r="RM59" s="22"/>
      <c r="RN59" s="22"/>
      <c r="RO59" s="22"/>
      <c r="RP59" s="22"/>
      <c r="RQ59" s="22"/>
      <c r="RR59" s="22"/>
      <c r="RS59" s="22"/>
      <c r="RT59" s="22"/>
      <c r="RU59" s="22"/>
      <c r="RV59" s="22"/>
      <c r="RW59" s="22"/>
      <c r="RX59" s="22"/>
      <c r="RY59" s="22"/>
      <c r="RZ59" s="22"/>
      <c r="SA59" s="22"/>
      <c r="SB59" s="22"/>
      <c r="SC59" s="22"/>
      <c r="SD59" s="22"/>
      <c r="SE59" s="22"/>
      <c r="SF59" s="22"/>
      <c r="SG59" s="22"/>
      <c r="SH59" s="22"/>
      <c r="SI59" s="22"/>
      <c r="SJ59" s="22"/>
      <c r="SK59" s="22"/>
      <c r="SL59" s="22"/>
      <c r="SM59" s="22"/>
      <c r="SN59" s="22"/>
      <c r="SO59" s="22"/>
      <c r="SP59" s="22"/>
      <c r="SQ59" s="22"/>
      <c r="SR59" s="22"/>
      <c r="SS59" s="22"/>
      <c r="ST59" s="22"/>
      <c r="SU59" s="22"/>
      <c r="SV59" s="22"/>
      <c r="SW59" s="22"/>
      <c r="SX59" s="22"/>
      <c r="SY59" s="22"/>
      <c r="SZ59" s="22"/>
      <c r="TA59" s="22"/>
      <c r="TB59" s="22"/>
      <c r="TC59" s="22"/>
      <c r="TD59" s="22"/>
      <c r="TE59" s="22"/>
      <c r="TF59" s="22"/>
      <c r="TG59" s="22"/>
      <c r="TH59" s="22"/>
      <c r="TI59" s="22"/>
      <c r="TJ59" s="22"/>
      <c r="TK59" s="22"/>
      <c r="TL59" s="22"/>
      <c r="TM59" s="22"/>
      <c r="TN59" s="22"/>
      <c r="TO59" s="22"/>
      <c r="TP59" s="22"/>
      <c r="TQ59" s="22"/>
      <c r="TR59" s="22"/>
      <c r="TS59" s="22"/>
      <c r="TT59" s="22"/>
      <c r="TU59" s="22"/>
      <c r="TV59" s="22"/>
      <c r="TW59" s="22"/>
      <c r="TX59" s="22"/>
      <c r="TY59" s="22"/>
      <c r="TZ59" s="22"/>
      <c r="UA59" s="22"/>
      <c r="UB59" s="22"/>
      <c r="UC59" s="22"/>
      <c r="UD59" s="22"/>
      <c r="UE59" s="22"/>
      <c r="UF59" s="22"/>
      <c r="UG59" s="22"/>
      <c r="UH59" s="22"/>
      <c r="UI59" s="22"/>
      <c r="UJ59" s="22"/>
      <c r="UK59" s="22"/>
      <c r="UL59" s="22"/>
      <c r="UM59" s="22"/>
      <c r="UN59" s="22"/>
      <c r="UO59" s="22"/>
      <c r="UP59" s="22"/>
      <c r="UQ59" s="22"/>
      <c r="UR59" s="22"/>
      <c r="US59" s="22"/>
      <c r="UT59" s="22"/>
      <c r="UU59" s="22"/>
      <c r="UV59" s="22"/>
      <c r="UW59" s="22"/>
      <c r="UX59" s="22"/>
      <c r="UY59" s="22"/>
      <c r="UZ59" s="22"/>
      <c r="VA59" s="22"/>
      <c r="VB59" s="22"/>
      <c r="VC59" s="22"/>
      <c r="VD59" s="22"/>
      <c r="VE59" s="22"/>
      <c r="VF59" s="22"/>
      <c r="VG59" s="22"/>
      <c r="VH59" s="22"/>
      <c r="VI59" s="22"/>
      <c r="VJ59" s="22"/>
      <c r="VK59" s="22"/>
      <c r="VL59" s="22"/>
      <c r="VM59" s="22"/>
      <c r="VN59" s="22"/>
      <c r="VO59" s="22"/>
      <c r="VP59" s="22"/>
      <c r="VQ59" s="22"/>
      <c r="VR59" s="22"/>
      <c r="VS59" s="22"/>
      <c r="VT59" s="22"/>
      <c r="VU59" s="22"/>
      <c r="VV59" s="22"/>
      <c r="VW59" s="22"/>
      <c r="VX59" s="22"/>
      <c r="VY59" s="22"/>
      <c r="VZ59" s="22"/>
      <c r="WA59" s="22"/>
      <c r="WB59" s="22"/>
      <c r="WC59" s="22"/>
      <c r="WD59" s="22"/>
      <c r="WE59" s="22"/>
      <c r="WF59" s="22"/>
      <c r="WG59" s="22"/>
      <c r="WH59" s="22"/>
      <c r="WI59" s="22"/>
      <c r="WJ59" s="22"/>
      <c r="WK59" s="22"/>
      <c r="WL59" s="22"/>
      <c r="WM59" s="22"/>
      <c r="WN59" s="22"/>
      <c r="WO59" s="22"/>
      <c r="WP59" s="22"/>
      <c r="WQ59" s="22"/>
      <c r="WR59" s="22"/>
      <c r="WS59" s="22"/>
      <c r="WT59" s="22"/>
      <c r="WU59" s="22"/>
      <c r="WV59" s="22"/>
      <c r="WW59" s="22"/>
      <c r="WX59" s="22"/>
      <c r="WY59" s="22"/>
      <c r="WZ59" s="22"/>
      <c r="XA59" s="22"/>
      <c r="XB59" s="22"/>
      <c r="XC59" s="22"/>
      <c r="XD59" s="22"/>
      <c r="XE59" s="22"/>
      <c r="XF59" s="22"/>
      <c r="XG59" s="22"/>
      <c r="XH59" s="22"/>
      <c r="XI59" s="22"/>
      <c r="XJ59" s="22"/>
      <c r="XK59" s="22"/>
      <c r="XL59" s="22"/>
      <c r="XM59" s="22"/>
      <c r="XN59" s="22"/>
      <c r="XO59" s="22"/>
      <c r="XP59" s="22"/>
      <c r="XQ59" s="22"/>
      <c r="XR59" s="22"/>
      <c r="XS59" s="22"/>
      <c r="XT59" s="22"/>
      <c r="XU59" s="22"/>
      <c r="XV59" s="22"/>
      <c r="XW59" s="22"/>
      <c r="XX59" s="22"/>
      <c r="XY59" s="22"/>
      <c r="XZ59" s="22"/>
      <c r="YA59" s="22"/>
      <c r="YB59" s="22"/>
      <c r="YC59" s="22"/>
      <c r="YD59" s="22"/>
      <c r="YE59" s="22"/>
      <c r="YF59" s="22"/>
      <c r="YG59" s="22"/>
      <c r="YH59" s="22"/>
      <c r="YI59" s="22"/>
      <c r="YJ59" s="22"/>
      <c r="YK59" s="22"/>
      <c r="YL59" s="22"/>
      <c r="YM59" s="22"/>
      <c r="YN59" s="22"/>
      <c r="YO59" s="22"/>
      <c r="YP59" s="22"/>
      <c r="YQ59" s="22"/>
      <c r="YR59" s="22"/>
      <c r="YS59" s="22"/>
      <c r="YT59" s="22"/>
      <c r="YU59" s="22"/>
      <c r="YV59" s="22"/>
      <c r="YW59" s="22"/>
      <c r="YX59" s="22"/>
      <c r="YY59" s="22"/>
      <c r="YZ59" s="22"/>
      <c r="ZA59" s="22"/>
      <c r="ZB59" s="22"/>
      <c r="ZC59" s="22"/>
      <c r="ZD59" s="22"/>
      <c r="ZE59" s="22"/>
      <c r="ZF59" s="22"/>
      <c r="ZG59" s="22"/>
      <c r="ZH59" s="22"/>
      <c r="ZI59" s="22"/>
      <c r="ZJ59" s="22"/>
      <c r="ZK59" s="22"/>
      <c r="ZL59" s="22"/>
      <c r="ZM59" s="22"/>
      <c r="ZN59" s="22"/>
      <c r="ZO59" s="22"/>
      <c r="ZP59" s="22"/>
      <c r="ZQ59" s="22"/>
      <c r="ZR59" s="22"/>
      <c r="ZS59" s="22"/>
      <c r="ZT59" s="22"/>
      <c r="ZU59" s="22"/>
      <c r="ZV59" s="22"/>
      <c r="ZW59" s="22"/>
      <c r="ZX59" s="22"/>
      <c r="ZY59" s="22"/>
      <c r="ZZ59" s="22"/>
      <c r="AAA59" s="22"/>
      <c r="AAB59" s="22"/>
      <c r="AAC59" s="22"/>
      <c r="AAD59" s="22"/>
      <c r="AAE59" s="22"/>
      <c r="AAF59" s="22"/>
      <c r="AAG59" s="22"/>
      <c r="AAH59" s="22"/>
      <c r="AAI59" s="22"/>
      <c r="AAJ59" s="22"/>
      <c r="AAK59" s="22"/>
      <c r="AAL59" s="22"/>
      <c r="AAM59" s="22"/>
      <c r="AAN59" s="22"/>
      <c r="AAO59" s="22"/>
      <c r="AAP59" s="22"/>
      <c r="AAQ59" s="22"/>
      <c r="AAR59" s="22"/>
      <c r="AAS59" s="22"/>
      <c r="AAT59" s="22"/>
      <c r="AAU59" s="22"/>
      <c r="AAV59" s="22"/>
      <c r="AAW59" s="22"/>
      <c r="AAX59" s="22"/>
      <c r="AAY59" s="22"/>
      <c r="AAZ59" s="22"/>
      <c r="ABA59" s="22"/>
      <c r="ABB59" s="22"/>
      <c r="ABC59" s="22"/>
    </row>
    <row r="60" spans="1:731" s="56" customFormat="1" ht="15" customHeight="1" thickBot="1" x14ac:dyDescent="0.35">
      <c r="A60" s="341"/>
      <c r="B60" s="76"/>
      <c r="C60" s="77"/>
      <c r="D60" s="54"/>
      <c r="E60" s="368" t="s">
        <v>73</v>
      </c>
      <c r="F60" s="38">
        <f>SUM(F44:F59)</f>
        <v>148.45718230239791</v>
      </c>
      <c r="G60" s="54">
        <f>SUM(G44:G59)</f>
        <v>124.54531343541868</v>
      </c>
      <c r="H60" s="40">
        <f t="shared" si="64"/>
        <v>23.911868866979233</v>
      </c>
      <c r="I60" s="169">
        <f t="shared" si="1"/>
        <v>0.19199332521956691</v>
      </c>
      <c r="J60" s="54">
        <f>SUM(J44:J59)</f>
        <v>44319.100000000006</v>
      </c>
      <c r="K60" s="54">
        <f>SUM(K44:K59)</f>
        <v>37180.66121875</v>
      </c>
      <c r="L60" s="40">
        <f t="shared" si="65"/>
        <v>7138.4387812500063</v>
      </c>
      <c r="M60" s="169">
        <f t="shared" si="21"/>
        <v>0.19199332521956688</v>
      </c>
      <c r="N60" s="54">
        <f>SUM(N44:N59)</f>
        <v>44319.100000000006</v>
      </c>
      <c r="O60" s="54">
        <f>SUM(O44:O59)</f>
        <v>36827.425218750002</v>
      </c>
      <c r="P60" s="40">
        <f t="shared" si="66"/>
        <v>7491.6747812500034</v>
      </c>
      <c r="Q60" s="169">
        <f t="shared" si="2"/>
        <v>0.20342651534150033</v>
      </c>
      <c r="R60" s="54">
        <f>SUM(R44:R59)</f>
        <v>0</v>
      </c>
      <c r="S60" s="54">
        <f>SUM(S44:S59)</f>
        <v>0.3</v>
      </c>
      <c r="T60" s="40">
        <f t="shared" si="67"/>
        <v>-0.3</v>
      </c>
      <c r="U60" s="169">
        <f t="shared" si="30"/>
        <v>-1</v>
      </c>
      <c r="V60" s="54">
        <f>SUM(V44:V59)</f>
        <v>33530.124182876716</v>
      </c>
      <c r="W60" s="54">
        <f>SUM(W44:W59)</f>
        <v>24346.705999999998</v>
      </c>
      <c r="X60" s="40">
        <f t="shared" si="68"/>
        <v>9183.4181828767178</v>
      </c>
      <c r="Y60" s="169">
        <f t="shared" si="4"/>
        <v>0.37719345618568351</v>
      </c>
      <c r="Z60" s="54">
        <f>SUM(Z44:Z59)</f>
        <v>4259.4762571232877</v>
      </c>
      <c r="AA60" s="54">
        <f>SUM(AA44:AA59)</f>
        <v>6777.1492187500007</v>
      </c>
      <c r="AB60" s="40">
        <f t="shared" si="69"/>
        <v>-2517.672961626713</v>
      </c>
      <c r="AC60" s="170">
        <f t="shared" si="5"/>
        <v>-0.37149439688611147</v>
      </c>
      <c r="AD60" s="171">
        <f>SUM(AD44:AD59)</f>
        <v>0</v>
      </c>
      <c r="AE60" s="171">
        <f>SUM(AE44:AE59)</f>
        <v>0</v>
      </c>
      <c r="AF60" s="40">
        <f t="shared" si="6"/>
        <v>0</v>
      </c>
      <c r="AG60" s="171" t="str">
        <f t="shared" si="7"/>
        <v/>
      </c>
      <c r="AH60" s="171">
        <f>SUM(AH44:AH59)</f>
        <v>3016.0839999999998</v>
      </c>
      <c r="AI60" s="171">
        <f>SUM(AI44:AI59)</f>
        <v>0</v>
      </c>
      <c r="AJ60" s="40">
        <f t="shared" si="8"/>
        <v>3016.0839999999998</v>
      </c>
      <c r="AK60" s="171" t="str">
        <f>IFERROR(IF(AI60&lt;0,-(AH60-AI60)/AI60,(AH60-AI60)/AI60),"")</f>
        <v/>
      </c>
      <c r="AL60" s="171">
        <f>SUM(AL44:AL59)</f>
        <v>10788.975817123288</v>
      </c>
      <c r="AM60" s="171">
        <f>SUM(AM44:AM59)</f>
        <v>12480.71921875</v>
      </c>
      <c r="AN60" s="40">
        <f t="shared" si="9"/>
        <v>-1691.7434016267125</v>
      </c>
      <c r="AO60" s="201">
        <f t="shared" si="10"/>
        <v>-0.13554855068650026</v>
      </c>
      <c r="AP60" s="317"/>
      <c r="AQ60" s="55"/>
      <c r="AR60" s="289">
        <f t="shared" si="11"/>
        <v>6529.499560000002</v>
      </c>
      <c r="AS60" s="289">
        <f t="shared" si="12"/>
        <v>5703.8700000000063</v>
      </c>
      <c r="AT60" s="289">
        <f t="shared" si="13"/>
        <v>-3513.4155600000004</v>
      </c>
      <c r="AU60" s="289">
        <f t="shared" si="14"/>
        <v>-5703.57</v>
      </c>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c r="CF60" s="55"/>
      <c r="CG60" s="55"/>
      <c r="CH60" s="55"/>
      <c r="CI60" s="55"/>
      <c r="CJ60" s="55"/>
      <c r="CK60" s="55"/>
      <c r="CL60" s="55"/>
      <c r="CM60" s="55"/>
      <c r="CN60" s="55"/>
      <c r="CO60" s="55"/>
      <c r="CP60" s="55"/>
      <c r="CQ60" s="55"/>
      <c r="CR60" s="55"/>
      <c r="CS60" s="55"/>
      <c r="CT60" s="55"/>
      <c r="CU60" s="55"/>
      <c r="CV60" s="55"/>
      <c r="CW60" s="55"/>
      <c r="CX60" s="55"/>
      <c r="CY60" s="55"/>
      <c r="CZ60" s="55"/>
      <c r="DA60" s="55"/>
      <c r="DB60" s="55"/>
      <c r="DC60" s="55"/>
      <c r="DD60" s="55"/>
      <c r="DE60" s="55"/>
      <c r="DF60" s="55"/>
      <c r="DG60" s="55"/>
      <c r="DH60" s="55"/>
      <c r="DI60" s="55"/>
      <c r="DJ60" s="55"/>
      <c r="DK60" s="55"/>
      <c r="DL60" s="55"/>
      <c r="DM60" s="55"/>
      <c r="DN60" s="55"/>
      <c r="DO60" s="55"/>
      <c r="DP60" s="55"/>
      <c r="DQ60" s="55"/>
      <c r="DR60" s="55"/>
      <c r="DS60" s="55"/>
      <c r="DT60" s="55"/>
      <c r="DU60" s="55"/>
      <c r="DV60" s="55"/>
      <c r="DW60" s="55"/>
      <c r="DX60" s="55"/>
      <c r="DY60" s="55"/>
      <c r="DZ60" s="55"/>
      <c r="EA60" s="55"/>
      <c r="EB60" s="55"/>
      <c r="EC60" s="55"/>
      <c r="ED60" s="55"/>
      <c r="EE60" s="55"/>
      <c r="EF60" s="55"/>
      <c r="EG60" s="55"/>
      <c r="EH60" s="55"/>
      <c r="EI60" s="55"/>
      <c r="EJ60" s="55"/>
      <c r="EK60" s="55"/>
      <c r="EL60" s="55"/>
      <c r="EM60" s="55"/>
      <c r="EN60" s="55"/>
      <c r="EO60" s="55"/>
      <c r="EP60" s="55"/>
      <c r="EQ60" s="55"/>
      <c r="ER60" s="55"/>
      <c r="ES60" s="55"/>
      <c r="ET60" s="55"/>
      <c r="EU60" s="55"/>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c r="HA60" s="55"/>
      <c r="HB60" s="55"/>
      <c r="HC60" s="55"/>
      <c r="HD60" s="55"/>
      <c r="HE60" s="55"/>
      <c r="HF60" s="55"/>
      <c r="HG60" s="55"/>
      <c r="HH60" s="55"/>
      <c r="HI60" s="55"/>
      <c r="HJ60" s="55"/>
      <c r="HK60" s="55"/>
      <c r="HL60" s="55"/>
      <c r="HM60" s="55"/>
      <c r="HN60" s="55"/>
      <c r="HO60" s="55"/>
      <c r="HP60" s="55"/>
      <c r="HQ60" s="55"/>
      <c r="HR60" s="55"/>
      <c r="HS60" s="55"/>
      <c r="HT60" s="55"/>
      <c r="HU60" s="55"/>
      <c r="HV60" s="55"/>
      <c r="HW60" s="55"/>
      <c r="HX60" s="55"/>
      <c r="HY60" s="55"/>
      <c r="HZ60" s="55"/>
      <c r="IA60" s="55"/>
      <c r="IB60" s="55"/>
      <c r="IC60" s="55"/>
      <c r="ID60" s="55"/>
      <c r="IE60" s="55"/>
      <c r="IF60" s="55"/>
      <c r="IG60" s="55"/>
      <c r="IH60" s="55"/>
      <c r="II60" s="55"/>
      <c r="IJ60" s="55"/>
      <c r="IK60" s="55"/>
      <c r="IL60" s="55"/>
      <c r="IM60" s="55"/>
      <c r="IN60" s="55"/>
      <c r="IO60" s="55"/>
      <c r="IP60" s="55"/>
      <c r="IQ60" s="55"/>
      <c r="IR60" s="55"/>
      <c r="IS60" s="55"/>
      <c r="IT60" s="55"/>
      <c r="IU60" s="55"/>
      <c r="IV60" s="55"/>
      <c r="IW60" s="55"/>
      <c r="IX60" s="55"/>
      <c r="IY60" s="55"/>
      <c r="IZ60" s="55"/>
      <c r="JA60" s="55"/>
      <c r="JB60" s="55"/>
      <c r="JC60" s="55"/>
      <c r="JD60" s="55"/>
      <c r="JE60" s="55"/>
      <c r="JF60" s="61"/>
      <c r="JG60" s="61"/>
      <c r="JH60" s="61"/>
      <c r="JI60" s="61"/>
      <c r="JJ60" s="55"/>
      <c r="JK60" s="55"/>
      <c r="JL60" s="55"/>
      <c r="JM60" s="55"/>
      <c r="JN60" s="55"/>
      <c r="JO60" s="55"/>
      <c r="JP60" s="55"/>
      <c r="JQ60" s="55"/>
      <c r="JR60" s="55"/>
      <c r="JS60" s="55"/>
      <c r="JT60" s="55"/>
      <c r="JU60" s="55"/>
      <c r="JV60" s="55"/>
      <c r="JW60" s="55"/>
      <c r="JX60" s="55"/>
      <c r="JY60" s="55"/>
      <c r="JZ60" s="55"/>
      <c r="KA60" s="55"/>
      <c r="KB60" s="55"/>
      <c r="KC60" s="55"/>
      <c r="KD60" s="55"/>
      <c r="KE60" s="55"/>
      <c r="KF60" s="55"/>
      <c r="KG60" s="55"/>
      <c r="KH60" s="55"/>
      <c r="KI60" s="55"/>
      <c r="KJ60" s="55"/>
      <c r="KK60" s="55"/>
      <c r="KL60" s="55"/>
      <c r="KM60" s="55"/>
      <c r="KN60" s="55"/>
      <c r="KO60" s="55"/>
      <c r="KP60" s="55"/>
      <c r="KQ60" s="55"/>
      <c r="KR60" s="55"/>
      <c r="KS60" s="55"/>
      <c r="KT60" s="55"/>
      <c r="KU60" s="55"/>
      <c r="KV60" s="55"/>
      <c r="KW60" s="55"/>
      <c r="KX60" s="55"/>
      <c r="KY60" s="55"/>
      <c r="KZ60" s="55"/>
      <c r="LA60" s="55"/>
      <c r="LB60" s="55"/>
      <c r="LC60" s="55"/>
      <c r="LD60" s="55"/>
      <c r="LE60" s="55"/>
      <c r="LF60" s="55"/>
      <c r="LG60" s="55"/>
      <c r="LH60" s="55"/>
      <c r="LI60" s="55"/>
      <c r="LJ60" s="55"/>
      <c r="LK60" s="55"/>
      <c r="LL60" s="55"/>
      <c r="LM60" s="55"/>
      <c r="LN60" s="55"/>
      <c r="LO60" s="55"/>
      <c r="LP60" s="55"/>
      <c r="LQ60" s="55"/>
      <c r="LR60" s="55"/>
      <c r="LS60" s="55"/>
      <c r="LT60" s="55"/>
      <c r="LU60" s="55"/>
      <c r="LV60" s="55"/>
      <c r="LW60" s="55"/>
      <c r="LX60" s="55"/>
      <c r="LY60" s="55"/>
      <c r="LZ60" s="55"/>
      <c r="MA60" s="55"/>
      <c r="MB60" s="55"/>
      <c r="MC60" s="55"/>
      <c r="MD60" s="55"/>
      <c r="ME60" s="55"/>
      <c r="MF60" s="55"/>
      <c r="MG60" s="55"/>
      <c r="MH60" s="55"/>
      <c r="MI60" s="55"/>
      <c r="MJ60" s="55"/>
      <c r="MK60" s="55"/>
      <c r="ML60" s="55"/>
      <c r="MM60" s="55"/>
      <c r="MN60" s="55"/>
      <c r="MO60" s="55"/>
      <c r="MP60" s="55"/>
      <c r="MQ60" s="55"/>
      <c r="MR60" s="55"/>
      <c r="MS60" s="55"/>
      <c r="MT60" s="55"/>
      <c r="MU60" s="55"/>
      <c r="MV60" s="55"/>
      <c r="MW60" s="55"/>
      <c r="MX60" s="55"/>
      <c r="MY60" s="55"/>
      <c r="MZ60" s="55"/>
      <c r="NA60" s="55"/>
      <c r="NB60" s="55"/>
      <c r="NC60" s="55"/>
      <c r="ND60" s="55"/>
      <c r="NE60" s="55"/>
      <c r="NF60" s="55"/>
      <c r="NG60" s="55"/>
      <c r="NH60" s="55"/>
      <c r="NI60" s="55"/>
      <c r="NJ60" s="55"/>
      <c r="NK60" s="55"/>
      <c r="NL60" s="55"/>
      <c r="NM60" s="55"/>
      <c r="NN60" s="55"/>
      <c r="NO60" s="55"/>
      <c r="NP60" s="55"/>
      <c r="NQ60" s="55"/>
      <c r="NR60" s="55"/>
      <c r="NS60" s="55"/>
      <c r="NT60" s="55"/>
      <c r="NU60" s="55"/>
      <c r="NV60" s="55"/>
      <c r="NW60" s="55"/>
      <c r="NX60" s="55"/>
      <c r="NY60" s="55"/>
      <c r="NZ60" s="55"/>
      <c r="OA60" s="55"/>
      <c r="OB60" s="55"/>
      <c r="OC60" s="55"/>
      <c r="OD60" s="55"/>
      <c r="OE60" s="55"/>
      <c r="OF60" s="55"/>
      <c r="OG60" s="55"/>
      <c r="OH60" s="55"/>
      <c r="OI60" s="55"/>
      <c r="OJ60" s="55"/>
      <c r="OK60" s="55"/>
      <c r="OL60" s="55"/>
      <c r="OM60" s="55"/>
      <c r="ON60" s="55"/>
      <c r="OO60" s="55"/>
      <c r="OP60" s="55"/>
      <c r="OQ60" s="55"/>
      <c r="OR60" s="55"/>
      <c r="OS60" s="55"/>
      <c r="OT60" s="55"/>
      <c r="OU60" s="55"/>
      <c r="OV60" s="55"/>
      <c r="OW60" s="55"/>
      <c r="OX60" s="55"/>
      <c r="OY60" s="55"/>
      <c r="OZ60" s="55"/>
      <c r="PA60" s="55"/>
      <c r="PB60" s="55"/>
      <c r="PC60" s="55"/>
      <c r="PD60" s="55"/>
      <c r="PE60" s="55"/>
      <c r="PF60" s="55"/>
      <c r="PG60" s="55"/>
      <c r="PH60" s="55"/>
      <c r="PI60" s="55"/>
      <c r="PJ60" s="55"/>
      <c r="PK60" s="55"/>
      <c r="PL60" s="55"/>
      <c r="PM60" s="55"/>
      <c r="PN60" s="55"/>
      <c r="PO60" s="55"/>
      <c r="PP60" s="55"/>
      <c r="PQ60" s="55"/>
      <c r="PR60" s="55"/>
      <c r="PS60" s="55"/>
      <c r="PT60" s="55"/>
      <c r="PU60" s="55"/>
      <c r="PV60" s="55"/>
      <c r="PW60" s="55"/>
      <c r="PX60" s="55"/>
      <c r="PY60" s="55"/>
      <c r="PZ60" s="55"/>
      <c r="QA60" s="55"/>
      <c r="QB60" s="55"/>
      <c r="QC60" s="55"/>
      <c r="QD60" s="55"/>
      <c r="QE60" s="55"/>
      <c r="QF60" s="55"/>
      <c r="QG60" s="55"/>
      <c r="QH60" s="55"/>
      <c r="QI60" s="55"/>
      <c r="QJ60" s="55"/>
      <c r="QK60" s="55"/>
      <c r="QL60" s="55"/>
      <c r="QM60" s="55"/>
      <c r="QN60" s="55"/>
      <c r="QO60" s="55"/>
      <c r="QP60" s="55"/>
      <c r="QQ60" s="55"/>
      <c r="QR60" s="55"/>
      <c r="QS60" s="55"/>
      <c r="QT60" s="55"/>
      <c r="QU60" s="55"/>
      <c r="QV60" s="55"/>
      <c r="QW60" s="55"/>
      <c r="QX60" s="55"/>
      <c r="QY60" s="55"/>
      <c r="QZ60" s="55"/>
      <c r="RA60" s="55"/>
      <c r="RB60" s="55"/>
      <c r="RC60" s="55"/>
      <c r="RD60" s="55"/>
      <c r="RE60" s="55"/>
      <c r="RF60" s="55"/>
      <c r="RG60" s="55"/>
      <c r="RH60" s="55"/>
      <c r="RI60" s="55"/>
      <c r="RJ60" s="55"/>
      <c r="RK60" s="55"/>
      <c r="RL60" s="55"/>
      <c r="RM60" s="55"/>
      <c r="RN60" s="55"/>
      <c r="RO60" s="55"/>
      <c r="RP60" s="55"/>
      <c r="RQ60" s="55"/>
      <c r="RR60" s="55"/>
      <c r="RS60" s="55"/>
      <c r="RT60" s="55"/>
      <c r="RU60" s="55"/>
      <c r="RV60" s="55"/>
      <c r="RW60" s="55"/>
      <c r="RX60" s="55"/>
      <c r="RY60" s="55"/>
      <c r="RZ60" s="55"/>
      <c r="SA60" s="55"/>
      <c r="SB60" s="55"/>
      <c r="SC60" s="55"/>
      <c r="SD60" s="55"/>
      <c r="SE60" s="55"/>
      <c r="SF60" s="55"/>
      <c r="SG60" s="55"/>
      <c r="SH60" s="55"/>
      <c r="SI60" s="55"/>
      <c r="SJ60" s="55"/>
      <c r="SK60" s="55"/>
      <c r="SL60" s="55"/>
      <c r="SM60" s="55"/>
      <c r="SN60" s="55"/>
      <c r="SO60" s="55"/>
      <c r="SP60" s="55"/>
      <c r="SQ60" s="55"/>
      <c r="SR60" s="55"/>
      <c r="SS60" s="55"/>
      <c r="ST60" s="55"/>
      <c r="SU60" s="55"/>
      <c r="SV60" s="55"/>
      <c r="SW60" s="55"/>
      <c r="SX60" s="55"/>
      <c r="SY60" s="55"/>
      <c r="SZ60" s="55"/>
      <c r="TA60" s="55"/>
      <c r="TB60" s="55"/>
      <c r="TC60" s="55"/>
      <c r="TD60" s="55"/>
      <c r="TE60" s="55"/>
      <c r="TF60" s="55"/>
      <c r="TG60" s="55"/>
      <c r="TH60" s="55"/>
      <c r="TI60" s="55"/>
      <c r="TJ60" s="55"/>
      <c r="TK60" s="55"/>
      <c r="TL60" s="55"/>
      <c r="TM60" s="55"/>
      <c r="TN60" s="55"/>
      <c r="TO60" s="55"/>
      <c r="TP60" s="55"/>
      <c r="TQ60" s="55"/>
      <c r="TR60" s="55"/>
      <c r="TS60" s="55"/>
      <c r="TT60" s="55"/>
      <c r="TU60" s="55"/>
      <c r="TV60" s="55"/>
      <c r="TW60" s="55"/>
      <c r="TX60" s="55"/>
      <c r="TY60" s="55"/>
      <c r="TZ60" s="55"/>
      <c r="UA60" s="55"/>
      <c r="UB60" s="55"/>
      <c r="UC60" s="55"/>
      <c r="UD60" s="55"/>
      <c r="UE60" s="55"/>
      <c r="UF60" s="55"/>
      <c r="UG60" s="55"/>
      <c r="UH60" s="55"/>
      <c r="UI60" s="55"/>
      <c r="UJ60" s="55"/>
      <c r="UK60" s="55"/>
      <c r="UL60" s="55"/>
      <c r="UM60" s="55"/>
      <c r="UN60" s="55"/>
      <c r="UO60" s="55"/>
      <c r="UP60" s="55"/>
      <c r="UQ60" s="55"/>
      <c r="UR60" s="55"/>
      <c r="US60" s="55"/>
      <c r="UT60" s="55"/>
      <c r="UU60" s="55"/>
      <c r="UV60" s="55"/>
      <c r="UW60" s="55"/>
      <c r="UX60" s="55"/>
      <c r="UY60" s="55"/>
      <c r="UZ60" s="55"/>
      <c r="VA60" s="55"/>
      <c r="VB60" s="55"/>
      <c r="VC60" s="55"/>
      <c r="VD60" s="55"/>
      <c r="VE60" s="55"/>
      <c r="VF60" s="55"/>
      <c r="VG60" s="55"/>
      <c r="VH60" s="55"/>
      <c r="VI60" s="55"/>
      <c r="VJ60" s="55"/>
      <c r="VK60" s="55"/>
      <c r="VL60" s="55"/>
      <c r="VM60" s="55"/>
      <c r="VN60" s="55"/>
      <c r="VO60" s="55"/>
      <c r="VP60" s="55"/>
      <c r="VQ60" s="55"/>
      <c r="VR60" s="55"/>
      <c r="VS60" s="55"/>
      <c r="VT60" s="55"/>
      <c r="VU60" s="55"/>
      <c r="VV60" s="55"/>
      <c r="VW60" s="55"/>
      <c r="VX60" s="55"/>
      <c r="VY60" s="55"/>
      <c r="VZ60" s="55"/>
      <c r="WA60" s="55"/>
      <c r="WB60" s="55"/>
      <c r="WC60" s="55"/>
      <c r="WD60" s="55"/>
      <c r="WE60" s="55"/>
      <c r="WF60" s="55"/>
      <c r="WG60" s="55"/>
      <c r="WH60" s="55"/>
      <c r="WI60" s="55"/>
      <c r="WJ60" s="55"/>
      <c r="WK60" s="55"/>
      <c r="WL60" s="55"/>
      <c r="WM60" s="55"/>
      <c r="WN60" s="55"/>
      <c r="WO60" s="55"/>
      <c r="WP60" s="55"/>
      <c r="WQ60" s="55"/>
      <c r="WR60" s="55"/>
      <c r="WS60" s="55"/>
      <c r="WT60" s="55"/>
      <c r="WU60" s="55"/>
      <c r="WV60" s="55"/>
      <c r="WW60" s="55"/>
      <c r="WX60" s="55"/>
      <c r="WY60" s="55"/>
      <c r="WZ60" s="55"/>
      <c r="XA60" s="55"/>
      <c r="XB60" s="55"/>
      <c r="XC60" s="55"/>
      <c r="XD60" s="55"/>
      <c r="XE60" s="55"/>
      <c r="XF60" s="55"/>
      <c r="XG60" s="55"/>
      <c r="XH60" s="55"/>
      <c r="XI60" s="55"/>
      <c r="XJ60" s="55"/>
      <c r="XK60" s="55"/>
      <c r="XL60" s="55"/>
      <c r="XM60" s="55"/>
      <c r="XN60" s="55"/>
      <c r="XO60" s="55"/>
      <c r="XP60" s="55"/>
      <c r="XQ60" s="55"/>
      <c r="XR60" s="55"/>
      <c r="XS60" s="55"/>
      <c r="XT60" s="55"/>
      <c r="XU60" s="55"/>
      <c r="XV60" s="55"/>
      <c r="XW60" s="55"/>
      <c r="XX60" s="55"/>
      <c r="XY60" s="55"/>
      <c r="XZ60" s="55"/>
      <c r="YA60" s="55"/>
      <c r="YB60" s="55"/>
      <c r="YC60" s="55"/>
      <c r="YD60" s="55"/>
      <c r="YE60" s="55"/>
      <c r="YF60" s="55"/>
      <c r="YG60" s="55"/>
      <c r="YH60" s="55"/>
      <c r="YI60" s="55"/>
      <c r="YJ60" s="55"/>
      <c r="YK60" s="55"/>
      <c r="YL60" s="55"/>
      <c r="YM60" s="55"/>
      <c r="YN60" s="55"/>
      <c r="YO60" s="55"/>
      <c r="YP60" s="55"/>
      <c r="YQ60" s="55"/>
      <c r="YR60" s="55"/>
      <c r="YS60" s="55"/>
      <c r="YT60" s="55"/>
      <c r="YU60" s="55"/>
      <c r="YV60" s="55"/>
      <c r="YW60" s="55"/>
      <c r="YX60" s="55"/>
      <c r="YY60" s="55"/>
      <c r="YZ60" s="55"/>
      <c r="ZA60" s="55"/>
      <c r="ZB60" s="55"/>
      <c r="ZC60" s="55"/>
      <c r="ZD60" s="55"/>
      <c r="ZE60" s="55"/>
      <c r="ZF60" s="55"/>
      <c r="ZG60" s="55"/>
      <c r="ZH60" s="55"/>
      <c r="ZI60" s="55"/>
      <c r="ZJ60" s="55"/>
      <c r="ZK60" s="55"/>
      <c r="ZL60" s="55"/>
      <c r="ZM60" s="55"/>
      <c r="ZN60" s="55"/>
      <c r="ZO60" s="55"/>
      <c r="ZP60" s="55"/>
      <c r="ZQ60" s="55"/>
      <c r="ZR60" s="55"/>
      <c r="ZS60" s="55"/>
      <c r="ZT60" s="55"/>
      <c r="ZU60" s="55"/>
      <c r="ZV60" s="55"/>
      <c r="ZW60" s="55"/>
      <c r="ZX60" s="55"/>
      <c r="ZY60" s="55"/>
      <c r="ZZ60" s="55"/>
      <c r="AAA60" s="55"/>
      <c r="AAB60" s="55"/>
      <c r="AAC60" s="55"/>
      <c r="AAD60" s="55"/>
      <c r="AAE60" s="55"/>
      <c r="AAF60" s="55"/>
      <c r="AAG60" s="55"/>
      <c r="AAH60" s="55"/>
      <c r="AAI60" s="55"/>
      <c r="AAJ60" s="55"/>
      <c r="AAK60" s="55"/>
      <c r="AAL60" s="55"/>
      <c r="AAM60" s="55"/>
      <c r="AAN60" s="55"/>
      <c r="AAO60" s="55"/>
      <c r="AAP60" s="55"/>
      <c r="AAQ60" s="55"/>
      <c r="AAR60" s="55"/>
      <c r="AAS60" s="55"/>
      <c r="AAT60" s="55"/>
      <c r="AAU60" s="55"/>
      <c r="AAV60" s="55"/>
      <c r="AAW60" s="55"/>
      <c r="AAX60" s="55"/>
      <c r="AAY60" s="55"/>
      <c r="AAZ60" s="55"/>
      <c r="ABA60" s="55"/>
      <c r="ABB60" s="55"/>
      <c r="ABC60" s="55"/>
    </row>
    <row r="61" spans="1:731" ht="15" customHeight="1" x14ac:dyDescent="0.3">
      <c r="A61" s="415" t="s">
        <v>98</v>
      </c>
      <c r="B61" s="154"/>
      <c r="C61" s="346"/>
      <c r="D61" s="347" t="s">
        <v>11</v>
      </c>
      <c r="E61" s="348" t="s">
        <v>96</v>
      </c>
      <c r="F61" s="15">
        <f>J61/$F$2</f>
        <v>260.49401392893327</v>
      </c>
      <c r="G61" s="16">
        <f>K61/$F$2</f>
        <v>409.44875830396791</v>
      </c>
      <c r="H61" s="13">
        <f t="shared" si="64"/>
        <v>-148.95474437503464</v>
      </c>
      <c r="I61" s="49">
        <f t="shared" si="1"/>
        <v>-0.36379337183006699</v>
      </c>
      <c r="J61" s="15">
        <f>77765589.2/1000</f>
        <v>77765.589200000002</v>
      </c>
      <c r="K61" s="74">
        <f>122233227/1000</f>
        <v>122233.227</v>
      </c>
      <c r="L61" s="13">
        <f t="shared" si="65"/>
        <v>-44467.637799999997</v>
      </c>
      <c r="M61" s="49">
        <f t="shared" si="21"/>
        <v>-0.3637933718300671</v>
      </c>
      <c r="N61" s="15">
        <f>25756500.86/1000</f>
        <v>25756.50086</v>
      </c>
      <c r="O61" s="74">
        <f>42328715/1000</f>
        <v>42328.714999999997</v>
      </c>
      <c r="P61" s="13">
        <f t="shared" si="66"/>
        <v>-16572.214139999996</v>
      </c>
      <c r="Q61" s="49">
        <f t="shared" si="2"/>
        <v>-0.39151233719237633</v>
      </c>
      <c r="R61" s="15"/>
      <c r="S61" s="16"/>
      <c r="T61" s="13">
        <f>R61-S61</f>
        <v>0</v>
      </c>
      <c r="U61" s="49"/>
      <c r="V61" s="15">
        <f>24059614.21/1000</f>
        <v>24059.61421</v>
      </c>
      <c r="W61" s="16">
        <f>(27853510+305583)/1000</f>
        <v>28159.093000000001</v>
      </c>
      <c r="X61" s="13">
        <f t="shared" si="68"/>
        <v>-4099.478790000001</v>
      </c>
      <c r="Y61" s="49">
        <f t="shared" si="4"/>
        <v>-0.14558277107859977</v>
      </c>
      <c r="Z61" s="15">
        <f>1696886.65000004/1000</f>
        <v>1696.8866500000399</v>
      </c>
      <c r="AA61" s="74">
        <f>14169622/1000</f>
        <v>14169.621999999999</v>
      </c>
      <c r="AB61" s="13">
        <f t="shared" si="69"/>
        <v>-12472.735349999959</v>
      </c>
      <c r="AC61" s="50">
        <f t="shared" si="5"/>
        <v>-0.88024474823675325</v>
      </c>
      <c r="AD61" s="349"/>
      <c r="AE61" s="187"/>
      <c r="AF61" s="108">
        <f t="shared" si="6"/>
        <v>0</v>
      </c>
      <c r="AG61" s="188" t="str">
        <f t="shared" si="7"/>
        <v/>
      </c>
      <c r="AH61" s="15"/>
      <c r="AI61" s="350"/>
      <c r="AJ61" s="108">
        <f t="shared" si="8"/>
        <v>0</v>
      </c>
      <c r="AK61" s="50" t="str">
        <f>IFERROR(IF(AI61&lt;0,-(AH61-AI61)/AI61,(AH61-AI61)/AI61),"")</f>
        <v/>
      </c>
      <c r="AL61" s="314">
        <f>Z61</f>
        <v>1696.8866500000399</v>
      </c>
      <c r="AM61" s="294">
        <f>14169622/1000</f>
        <v>14169.621999999999</v>
      </c>
      <c r="AN61" s="13">
        <f t="shared" si="9"/>
        <v>-12472.735349999959</v>
      </c>
      <c r="AO61" s="50">
        <f t="shared" si="10"/>
        <v>-0.88024474823675325</v>
      </c>
      <c r="AP61" s="51"/>
      <c r="AQ61" s="22"/>
      <c r="AR61" s="1">
        <f t="shared" si="11"/>
        <v>-3.9563019527122378E-11</v>
      </c>
      <c r="AS61" s="1">
        <f t="shared" si="12"/>
        <v>0</v>
      </c>
      <c r="AT61" s="1">
        <f t="shared" si="13"/>
        <v>0</v>
      </c>
      <c r="AU61" s="1">
        <f t="shared" si="14"/>
        <v>0</v>
      </c>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c r="FJ61" s="22"/>
      <c r="FK61" s="22"/>
      <c r="FL61" s="22"/>
      <c r="FM61" s="22"/>
      <c r="FN61" s="22"/>
      <c r="FO61" s="22"/>
      <c r="FP61" s="22"/>
      <c r="FQ61" s="22"/>
      <c r="FR61" s="22"/>
      <c r="FS61" s="22"/>
      <c r="FT61" s="22"/>
      <c r="FU61" s="22"/>
      <c r="FV61" s="22"/>
      <c r="FW61" s="22"/>
      <c r="FX61" s="22"/>
      <c r="FY61" s="22"/>
      <c r="FZ61" s="22"/>
      <c r="GA61" s="22"/>
      <c r="GB61" s="22"/>
      <c r="GC61" s="22"/>
      <c r="GD61" s="22"/>
      <c r="GE61" s="22"/>
      <c r="GF61" s="22"/>
      <c r="GG61" s="22"/>
      <c r="GH61" s="22"/>
      <c r="GI61" s="22"/>
      <c r="GJ61" s="22"/>
      <c r="GK61" s="22"/>
      <c r="GL61" s="22"/>
      <c r="GM61" s="22"/>
      <c r="GN61" s="22"/>
      <c r="GO61" s="22"/>
      <c r="GP61" s="22"/>
      <c r="GQ61" s="22"/>
      <c r="GR61" s="22"/>
      <c r="GS61" s="22"/>
      <c r="GT61" s="22"/>
      <c r="GU61" s="22"/>
      <c r="GV61" s="22"/>
      <c r="GW61" s="22"/>
      <c r="GX61" s="22"/>
      <c r="GY61" s="22"/>
      <c r="GZ61" s="22"/>
      <c r="HA61" s="22"/>
      <c r="HB61" s="22"/>
      <c r="HC61" s="22"/>
      <c r="HD61" s="22"/>
      <c r="HE61" s="22"/>
      <c r="HF61" s="22"/>
      <c r="HG61" s="22"/>
      <c r="HH61" s="22"/>
      <c r="HI61" s="22"/>
      <c r="HJ61" s="22"/>
      <c r="HK61" s="22"/>
      <c r="HL61" s="22"/>
      <c r="HM61" s="22"/>
      <c r="HN61" s="22"/>
      <c r="HO61" s="22"/>
      <c r="HP61" s="22"/>
      <c r="HQ61" s="22"/>
      <c r="HR61" s="22"/>
      <c r="HS61" s="22"/>
      <c r="HT61" s="22"/>
      <c r="HU61" s="22"/>
      <c r="HV61" s="22"/>
      <c r="HW61" s="22"/>
      <c r="HX61" s="22"/>
      <c r="HY61" s="22"/>
      <c r="HZ61" s="22"/>
      <c r="IA61" s="22"/>
      <c r="IB61" s="22"/>
      <c r="IC61" s="22"/>
      <c r="ID61" s="22"/>
      <c r="IE61" s="22"/>
      <c r="IF61" s="22"/>
      <c r="IG61" s="22"/>
      <c r="IH61" s="22"/>
      <c r="II61" s="22"/>
      <c r="IJ61" s="22"/>
      <c r="IK61" s="22"/>
      <c r="IL61" s="22"/>
      <c r="IM61" s="22"/>
      <c r="IN61" s="22"/>
      <c r="IO61" s="22"/>
      <c r="IP61" s="22"/>
      <c r="IQ61" s="22"/>
      <c r="IR61" s="22"/>
      <c r="IS61" s="22"/>
      <c r="IT61" s="22"/>
      <c r="IU61" s="22"/>
      <c r="IV61" s="22"/>
      <c r="IW61" s="22"/>
      <c r="IX61" s="22"/>
      <c r="IY61" s="22"/>
      <c r="IZ61" s="22"/>
      <c r="JA61" s="22"/>
      <c r="JB61" s="22"/>
      <c r="JC61" s="22"/>
      <c r="JD61" s="22"/>
      <c r="JE61" s="22"/>
      <c r="JJ61" s="22"/>
      <c r="JK61" s="22"/>
      <c r="JL61" s="22"/>
      <c r="JM61" s="22"/>
      <c r="JN61" s="22"/>
      <c r="JO61" s="22"/>
      <c r="JP61" s="22"/>
      <c r="JQ61" s="22"/>
      <c r="JR61" s="22"/>
      <c r="JS61" s="22"/>
      <c r="JT61" s="22"/>
      <c r="JU61" s="22"/>
      <c r="JV61" s="22"/>
      <c r="JW61" s="22"/>
      <c r="JX61" s="22"/>
      <c r="JY61" s="22"/>
      <c r="JZ61" s="22"/>
      <c r="KA61" s="22"/>
      <c r="KB61" s="22"/>
      <c r="KC61" s="22"/>
      <c r="KD61" s="22"/>
      <c r="KE61" s="22"/>
      <c r="KF61" s="22"/>
      <c r="KG61" s="22"/>
      <c r="KH61" s="22"/>
      <c r="KI61" s="22"/>
      <c r="KJ61" s="22"/>
      <c r="KK61" s="22"/>
      <c r="KL61" s="22"/>
      <c r="KM61" s="22"/>
      <c r="KN61" s="22"/>
      <c r="KO61" s="22"/>
      <c r="KP61" s="22"/>
      <c r="KQ61" s="22"/>
      <c r="KR61" s="22"/>
      <c r="KS61" s="22"/>
      <c r="KT61" s="22"/>
      <c r="KU61" s="22"/>
      <c r="KV61" s="22"/>
      <c r="KW61" s="22"/>
      <c r="KX61" s="22"/>
      <c r="KY61" s="22"/>
      <c r="KZ61" s="22"/>
      <c r="LA61" s="22"/>
      <c r="LB61" s="22"/>
      <c r="LC61" s="22"/>
      <c r="LD61" s="22"/>
      <c r="LE61" s="22"/>
      <c r="LF61" s="22"/>
      <c r="LG61" s="22"/>
      <c r="LH61" s="22"/>
      <c r="LI61" s="22"/>
      <c r="LJ61" s="22"/>
      <c r="LK61" s="22"/>
      <c r="LL61" s="22"/>
      <c r="LM61" s="22"/>
      <c r="LN61" s="22"/>
      <c r="LO61" s="22"/>
      <c r="LP61" s="22"/>
      <c r="LQ61" s="22"/>
      <c r="LR61" s="22"/>
      <c r="LS61" s="22"/>
      <c r="LT61" s="22"/>
      <c r="LU61" s="22"/>
      <c r="LV61" s="22"/>
      <c r="LW61" s="22"/>
      <c r="LX61" s="22"/>
      <c r="LY61" s="22"/>
      <c r="LZ61" s="22"/>
      <c r="MA61" s="22"/>
      <c r="MB61" s="22"/>
      <c r="MC61" s="22"/>
      <c r="MD61" s="22"/>
      <c r="ME61" s="22"/>
      <c r="MF61" s="22"/>
      <c r="MG61" s="22"/>
      <c r="MH61" s="22"/>
      <c r="MI61" s="22"/>
      <c r="MJ61" s="22"/>
      <c r="MK61" s="22"/>
      <c r="ML61" s="22"/>
      <c r="MM61" s="22"/>
      <c r="MN61" s="22"/>
      <c r="MO61" s="22"/>
      <c r="MP61" s="22"/>
      <c r="MQ61" s="22"/>
      <c r="MR61" s="22"/>
      <c r="MS61" s="22"/>
      <c r="MT61" s="22"/>
      <c r="MU61" s="22"/>
      <c r="MV61" s="22"/>
      <c r="MW61" s="22"/>
      <c r="MX61" s="22"/>
      <c r="MY61" s="22"/>
      <c r="MZ61" s="22"/>
      <c r="NA61" s="22"/>
      <c r="NB61" s="22"/>
      <c r="NC61" s="22"/>
      <c r="ND61" s="22"/>
      <c r="NE61" s="22"/>
      <c r="NF61" s="22"/>
      <c r="NG61" s="22"/>
      <c r="NH61" s="22"/>
      <c r="NI61" s="22"/>
      <c r="NJ61" s="22"/>
      <c r="NK61" s="22"/>
      <c r="NL61" s="22"/>
      <c r="NM61" s="22"/>
      <c r="NN61" s="22"/>
      <c r="NO61" s="22"/>
      <c r="NP61" s="22"/>
      <c r="NQ61" s="22"/>
      <c r="NR61" s="22"/>
      <c r="NS61" s="22"/>
      <c r="NT61" s="22"/>
      <c r="NU61" s="22"/>
      <c r="NV61" s="22"/>
      <c r="NW61" s="22"/>
      <c r="NX61" s="22"/>
      <c r="NY61" s="22"/>
      <c r="NZ61" s="22"/>
      <c r="OA61" s="22"/>
      <c r="OB61" s="22"/>
      <c r="OC61" s="22"/>
      <c r="OD61" s="22"/>
      <c r="OE61" s="22"/>
      <c r="OF61" s="22"/>
      <c r="OG61" s="22"/>
      <c r="OH61" s="22"/>
      <c r="OI61" s="22"/>
      <c r="OJ61" s="22"/>
      <c r="OK61" s="22"/>
      <c r="OL61" s="22"/>
      <c r="OM61" s="22"/>
      <c r="ON61" s="22"/>
      <c r="OO61" s="22"/>
      <c r="OP61" s="22"/>
      <c r="OQ61" s="22"/>
      <c r="OR61" s="22"/>
      <c r="OS61" s="22"/>
      <c r="OT61" s="22"/>
      <c r="OU61" s="22"/>
      <c r="OV61" s="22"/>
      <c r="OW61" s="22"/>
      <c r="OX61" s="22"/>
      <c r="OY61" s="22"/>
      <c r="OZ61" s="22"/>
      <c r="PA61" s="22"/>
      <c r="PB61" s="22"/>
      <c r="PC61" s="22"/>
      <c r="PD61" s="22"/>
      <c r="PE61" s="22"/>
      <c r="PF61" s="22"/>
      <c r="PG61" s="22"/>
      <c r="PH61" s="22"/>
      <c r="PI61" s="22"/>
      <c r="PJ61" s="22"/>
      <c r="PK61" s="22"/>
      <c r="PL61" s="22"/>
      <c r="PM61" s="22"/>
      <c r="PN61" s="22"/>
      <c r="PO61" s="22"/>
      <c r="PP61" s="22"/>
      <c r="PQ61" s="22"/>
      <c r="PR61" s="22"/>
      <c r="PS61" s="22"/>
      <c r="PT61" s="22"/>
      <c r="PU61" s="22"/>
      <c r="PV61" s="22"/>
      <c r="PW61" s="22"/>
      <c r="PX61" s="22"/>
      <c r="PY61" s="22"/>
      <c r="PZ61" s="22"/>
      <c r="QA61" s="22"/>
      <c r="QB61" s="22"/>
      <c r="QC61" s="22"/>
      <c r="QD61" s="22"/>
      <c r="QE61" s="22"/>
      <c r="QF61" s="22"/>
      <c r="QG61" s="22"/>
      <c r="QH61" s="22"/>
      <c r="QI61" s="22"/>
      <c r="QJ61" s="22"/>
      <c r="QK61" s="22"/>
      <c r="QL61" s="22"/>
      <c r="QM61" s="22"/>
      <c r="QN61" s="22"/>
      <c r="QO61" s="22"/>
      <c r="QP61" s="22"/>
      <c r="QQ61" s="22"/>
      <c r="QR61" s="22"/>
      <c r="QS61" s="22"/>
      <c r="QT61" s="22"/>
      <c r="QU61" s="22"/>
      <c r="QV61" s="22"/>
      <c r="QW61" s="22"/>
      <c r="QX61" s="22"/>
      <c r="QY61" s="22"/>
      <c r="QZ61" s="22"/>
      <c r="RA61" s="22"/>
      <c r="RB61" s="22"/>
      <c r="RC61" s="22"/>
      <c r="RD61" s="22"/>
      <c r="RE61" s="22"/>
      <c r="RF61" s="22"/>
      <c r="RG61" s="22"/>
      <c r="RH61" s="22"/>
      <c r="RI61" s="22"/>
      <c r="RJ61" s="22"/>
      <c r="RK61" s="22"/>
      <c r="RL61" s="22"/>
      <c r="RM61" s="22"/>
      <c r="RN61" s="22"/>
      <c r="RO61" s="22"/>
      <c r="RP61" s="22"/>
      <c r="RQ61" s="22"/>
      <c r="RR61" s="22"/>
      <c r="RS61" s="22"/>
      <c r="RT61" s="22"/>
      <c r="RU61" s="22"/>
      <c r="RV61" s="22"/>
      <c r="RW61" s="22"/>
      <c r="RX61" s="22"/>
      <c r="RY61" s="22"/>
      <c r="RZ61" s="22"/>
      <c r="SA61" s="22"/>
      <c r="SB61" s="22"/>
      <c r="SC61" s="22"/>
      <c r="SD61" s="22"/>
      <c r="SE61" s="22"/>
      <c r="SF61" s="22"/>
      <c r="SG61" s="22"/>
      <c r="SH61" s="22"/>
      <c r="SI61" s="22"/>
      <c r="SJ61" s="22"/>
      <c r="SK61" s="22"/>
      <c r="SL61" s="22"/>
      <c r="SM61" s="22"/>
      <c r="SN61" s="22"/>
      <c r="SO61" s="22"/>
      <c r="SP61" s="22"/>
      <c r="SQ61" s="22"/>
      <c r="SR61" s="22"/>
      <c r="SS61" s="22"/>
      <c r="ST61" s="22"/>
      <c r="SU61" s="22"/>
      <c r="SV61" s="22"/>
      <c r="SW61" s="22"/>
      <c r="SX61" s="22"/>
      <c r="SY61" s="22"/>
      <c r="SZ61" s="22"/>
      <c r="TA61" s="22"/>
      <c r="TB61" s="22"/>
      <c r="TC61" s="22"/>
      <c r="TD61" s="22"/>
      <c r="TE61" s="22"/>
      <c r="TF61" s="22"/>
      <c r="TG61" s="22"/>
      <c r="TH61" s="22"/>
      <c r="TI61" s="22"/>
      <c r="TJ61" s="22"/>
      <c r="TK61" s="22"/>
      <c r="TL61" s="22"/>
      <c r="TM61" s="22"/>
      <c r="TN61" s="22"/>
      <c r="TO61" s="22"/>
      <c r="TP61" s="22"/>
      <c r="TQ61" s="22"/>
      <c r="TR61" s="22"/>
      <c r="TS61" s="22"/>
      <c r="TT61" s="22"/>
      <c r="TU61" s="22"/>
      <c r="TV61" s="22"/>
      <c r="TW61" s="22"/>
      <c r="TX61" s="22"/>
      <c r="TY61" s="22"/>
      <c r="TZ61" s="22"/>
      <c r="UA61" s="22"/>
      <c r="UB61" s="22"/>
      <c r="UC61" s="22"/>
      <c r="UD61" s="22"/>
      <c r="UE61" s="22"/>
      <c r="UF61" s="22"/>
      <c r="UG61" s="22"/>
      <c r="UH61" s="22"/>
      <c r="UI61" s="22"/>
      <c r="UJ61" s="22"/>
      <c r="UK61" s="22"/>
      <c r="UL61" s="22"/>
      <c r="UM61" s="22"/>
      <c r="UN61" s="22"/>
      <c r="UO61" s="22"/>
      <c r="UP61" s="22"/>
      <c r="UQ61" s="22"/>
      <c r="UR61" s="22"/>
      <c r="US61" s="22"/>
      <c r="UT61" s="22"/>
      <c r="UU61" s="22"/>
      <c r="UV61" s="22"/>
      <c r="UW61" s="22"/>
      <c r="UX61" s="22"/>
      <c r="UY61" s="22"/>
      <c r="UZ61" s="22"/>
      <c r="VA61" s="22"/>
      <c r="VB61" s="22"/>
      <c r="VC61" s="22"/>
      <c r="VD61" s="22"/>
      <c r="VE61" s="22"/>
      <c r="VF61" s="22"/>
      <c r="VG61" s="22"/>
      <c r="VH61" s="22"/>
      <c r="VI61" s="22"/>
      <c r="VJ61" s="22"/>
      <c r="VK61" s="22"/>
      <c r="VL61" s="22"/>
      <c r="VM61" s="22"/>
      <c r="VN61" s="22"/>
      <c r="VO61" s="22"/>
      <c r="VP61" s="22"/>
      <c r="VQ61" s="22"/>
      <c r="VR61" s="22"/>
      <c r="VS61" s="22"/>
      <c r="VT61" s="22"/>
      <c r="VU61" s="22"/>
      <c r="VV61" s="22"/>
      <c r="VW61" s="22"/>
      <c r="VX61" s="22"/>
      <c r="VY61" s="22"/>
      <c r="VZ61" s="22"/>
      <c r="WA61" s="22"/>
      <c r="WB61" s="22"/>
      <c r="WC61" s="22"/>
      <c r="WD61" s="22"/>
      <c r="WE61" s="22"/>
      <c r="WF61" s="22"/>
      <c r="WG61" s="22"/>
      <c r="WH61" s="22"/>
      <c r="WI61" s="22"/>
      <c r="WJ61" s="22"/>
      <c r="WK61" s="22"/>
      <c r="WL61" s="22"/>
      <c r="WM61" s="22"/>
      <c r="WN61" s="22"/>
      <c r="WO61" s="22"/>
      <c r="WP61" s="22"/>
      <c r="WQ61" s="22"/>
      <c r="WR61" s="22"/>
      <c r="WS61" s="22"/>
      <c r="WT61" s="22"/>
      <c r="WU61" s="22"/>
      <c r="WV61" s="22"/>
      <c r="WW61" s="22"/>
      <c r="WX61" s="22"/>
      <c r="WY61" s="22"/>
      <c r="WZ61" s="22"/>
      <c r="XA61" s="22"/>
      <c r="XB61" s="22"/>
      <c r="XC61" s="22"/>
      <c r="XD61" s="22"/>
      <c r="XE61" s="22"/>
      <c r="XF61" s="22"/>
      <c r="XG61" s="22"/>
      <c r="XH61" s="22"/>
      <c r="XI61" s="22"/>
      <c r="XJ61" s="22"/>
      <c r="XK61" s="22"/>
      <c r="XL61" s="22"/>
      <c r="XM61" s="22"/>
      <c r="XN61" s="22"/>
      <c r="XO61" s="22"/>
      <c r="XP61" s="22"/>
      <c r="XQ61" s="22"/>
      <c r="XR61" s="22"/>
      <c r="XS61" s="22"/>
      <c r="XT61" s="22"/>
      <c r="XU61" s="22"/>
      <c r="XV61" s="22"/>
      <c r="XW61" s="22"/>
      <c r="XX61" s="22"/>
      <c r="XY61" s="22"/>
      <c r="XZ61" s="22"/>
      <c r="YA61" s="22"/>
      <c r="YB61" s="22"/>
      <c r="YC61" s="22"/>
      <c r="YD61" s="22"/>
      <c r="YE61" s="22"/>
      <c r="YF61" s="22"/>
      <c r="YG61" s="22"/>
      <c r="YH61" s="22"/>
      <c r="YI61" s="22"/>
      <c r="YJ61" s="22"/>
      <c r="YK61" s="22"/>
      <c r="YL61" s="22"/>
      <c r="YM61" s="22"/>
      <c r="YN61" s="22"/>
      <c r="YO61" s="22"/>
      <c r="YP61" s="22"/>
      <c r="YQ61" s="22"/>
      <c r="YR61" s="22"/>
      <c r="YS61" s="22"/>
      <c r="YT61" s="22"/>
      <c r="YU61" s="22"/>
      <c r="YV61" s="22"/>
      <c r="YW61" s="22"/>
      <c r="YX61" s="22"/>
      <c r="YY61" s="22"/>
      <c r="YZ61" s="22"/>
      <c r="ZA61" s="22"/>
      <c r="ZB61" s="22"/>
      <c r="ZC61" s="22"/>
      <c r="ZD61" s="22"/>
      <c r="ZE61" s="22"/>
      <c r="ZF61" s="22"/>
      <c r="ZG61" s="22"/>
      <c r="ZH61" s="22"/>
      <c r="ZI61" s="22"/>
      <c r="ZJ61" s="22"/>
      <c r="ZK61" s="22"/>
      <c r="ZL61" s="22"/>
      <c r="ZM61" s="22"/>
      <c r="ZN61" s="22"/>
      <c r="ZO61" s="22"/>
      <c r="ZP61" s="22"/>
      <c r="ZQ61" s="22"/>
      <c r="ZR61" s="22"/>
      <c r="ZS61" s="22"/>
      <c r="ZT61" s="22"/>
      <c r="ZU61" s="22"/>
      <c r="ZV61" s="22"/>
      <c r="ZW61" s="22"/>
      <c r="ZX61" s="22"/>
      <c r="ZY61" s="22"/>
      <c r="ZZ61" s="22"/>
      <c r="AAA61" s="22"/>
      <c r="AAB61" s="22"/>
      <c r="AAC61" s="22"/>
      <c r="AAD61" s="22"/>
      <c r="AAE61" s="22"/>
      <c r="AAF61" s="22"/>
      <c r="AAG61" s="22"/>
      <c r="AAH61" s="22"/>
      <c r="AAI61" s="22"/>
      <c r="AAJ61" s="22"/>
      <c r="AAK61" s="22"/>
      <c r="AAL61" s="22"/>
      <c r="AAM61" s="22"/>
      <c r="AAN61" s="22"/>
      <c r="AAO61" s="22"/>
      <c r="AAP61" s="22"/>
      <c r="AAQ61" s="22"/>
      <c r="AAR61" s="22"/>
      <c r="AAS61" s="22"/>
      <c r="AAT61" s="22"/>
      <c r="AAU61" s="22"/>
      <c r="AAV61" s="22"/>
      <c r="AAW61" s="22"/>
      <c r="AAX61" s="22"/>
      <c r="AAY61" s="22"/>
      <c r="AAZ61" s="22"/>
      <c r="ABA61" s="22"/>
      <c r="ABB61" s="22"/>
      <c r="ABC61" s="22"/>
    </row>
    <row r="62" spans="1:731" ht="15" customHeight="1" thickBot="1" x14ac:dyDescent="0.35">
      <c r="A62" s="416"/>
      <c r="B62" s="154"/>
      <c r="C62" s="168"/>
      <c r="D62" s="155" t="s">
        <v>11</v>
      </c>
      <c r="E62" s="180" t="s">
        <v>97</v>
      </c>
      <c r="F62" s="151"/>
      <c r="G62" s="150"/>
      <c r="H62" s="31"/>
      <c r="I62" s="156"/>
      <c r="J62" s="151"/>
      <c r="K62" s="157"/>
      <c r="L62" s="31">
        <f t="shared" si="65"/>
        <v>0</v>
      </c>
      <c r="M62" s="156" t="str">
        <f t="shared" si="21"/>
        <v/>
      </c>
      <c r="N62" s="151"/>
      <c r="O62" s="157"/>
      <c r="P62" s="31">
        <f t="shared" si="66"/>
        <v>0</v>
      </c>
      <c r="Q62" s="156" t="str">
        <f t="shared" si="2"/>
        <v/>
      </c>
      <c r="R62" s="151"/>
      <c r="S62" s="150"/>
      <c r="T62" s="31">
        <f t="shared" si="67"/>
        <v>0</v>
      </c>
      <c r="U62" s="156"/>
      <c r="V62" s="151"/>
      <c r="W62" s="150"/>
      <c r="X62" s="31">
        <f t="shared" si="68"/>
        <v>0</v>
      </c>
      <c r="Y62" s="156" t="str">
        <f t="shared" si="4"/>
        <v/>
      </c>
      <c r="Z62" s="151"/>
      <c r="AA62" s="157"/>
      <c r="AB62" s="31">
        <f t="shared" si="69"/>
        <v>0</v>
      </c>
      <c r="AC62" s="158" t="str">
        <f t="shared" si="5"/>
        <v/>
      </c>
      <c r="AD62" s="159"/>
      <c r="AE62" s="160"/>
      <c r="AF62" s="161">
        <f t="shared" si="6"/>
        <v>0</v>
      </c>
      <c r="AG62" s="162" t="str">
        <f t="shared" si="7"/>
        <v/>
      </c>
      <c r="AH62" s="175"/>
      <c r="AI62" s="163"/>
      <c r="AJ62" s="161">
        <f t="shared" si="8"/>
        <v>0</v>
      </c>
      <c r="AK62" s="158" t="str">
        <f>IFERROR(IF(AI62&lt;0,-(AH62-AI62)/AI62,(AH62-AI62)/AI62),"")</f>
        <v/>
      </c>
      <c r="AL62" s="210"/>
      <c r="AM62" s="164"/>
      <c r="AN62" s="165">
        <f t="shared" si="9"/>
        <v>0</v>
      </c>
      <c r="AO62" s="158" t="str">
        <f t="shared" si="10"/>
        <v/>
      </c>
      <c r="AP62" s="51"/>
      <c r="AQ62" s="22"/>
      <c r="AR62" s="1">
        <f t="shared" si="11"/>
        <v>0</v>
      </c>
      <c r="AS62" s="1">
        <f t="shared" si="12"/>
        <v>0</v>
      </c>
      <c r="AT62" s="1">
        <f t="shared" si="13"/>
        <v>0</v>
      </c>
      <c r="AU62" s="1">
        <f t="shared" si="14"/>
        <v>0</v>
      </c>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c r="FT62" s="22"/>
      <c r="FU62" s="22"/>
      <c r="FV62" s="22"/>
      <c r="FW62" s="22"/>
      <c r="FX62" s="22"/>
      <c r="FY62" s="22"/>
      <c r="FZ62" s="22"/>
      <c r="GA62" s="22"/>
      <c r="GB62" s="22"/>
      <c r="GC62" s="22"/>
      <c r="GD62" s="22"/>
      <c r="GE62" s="22"/>
      <c r="GF62" s="22"/>
      <c r="GG62" s="22"/>
      <c r="GH62" s="22"/>
      <c r="GI62" s="22"/>
      <c r="GJ62" s="22"/>
      <c r="GK62" s="22"/>
      <c r="GL62" s="22"/>
      <c r="GM62" s="22"/>
      <c r="GN62" s="22"/>
      <c r="GO62" s="22"/>
      <c r="GP62" s="22"/>
      <c r="GQ62" s="22"/>
      <c r="GR62" s="22"/>
      <c r="GS62" s="22"/>
      <c r="GT62" s="22"/>
      <c r="GU62" s="22"/>
      <c r="GV62" s="22"/>
      <c r="GW62" s="22"/>
      <c r="GX62" s="22"/>
      <c r="GY62" s="22"/>
      <c r="GZ62" s="22"/>
      <c r="HA62" s="22"/>
      <c r="HB62" s="22"/>
      <c r="HC62" s="22"/>
      <c r="HD62" s="22"/>
      <c r="HE62" s="22"/>
      <c r="HF62" s="22"/>
      <c r="HG62" s="22"/>
      <c r="HH62" s="22"/>
      <c r="HI62" s="22"/>
      <c r="HJ62" s="22"/>
      <c r="HK62" s="22"/>
      <c r="HL62" s="22"/>
      <c r="HM62" s="22"/>
      <c r="HN62" s="22"/>
      <c r="HO62" s="22"/>
      <c r="HP62" s="22"/>
      <c r="HQ62" s="22"/>
      <c r="HR62" s="22"/>
      <c r="HS62" s="22"/>
      <c r="HT62" s="22"/>
      <c r="HU62" s="22"/>
      <c r="HV62" s="22"/>
      <c r="HW62" s="22"/>
      <c r="HX62" s="22"/>
      <c r="HY62" s="22"/>
      <c r="HZ62" s="22"/>
      <c r="IA62" s="22"/>
      <c r="IB62" s="22"/>
      <c r="IC62" s="22"/>
      <c r="ID62" s="22"/>
      <c r="IE62" s="22"/>
      <c r="IF62" s="22"/>
      <c r="IG62" s="22"/>
      <c r="IH62" s="22"/>
      <c r="II62" s="22"/>
      <c r="IJ62" s="22"/>
      <c r="IK62" s="22"/>
      <c r="IL62" s="22"/>
      <c r="IM62" s="22"/>
      <c r="IN62" s="22"/>
      <c r="IO62" s="22"/>
      <c r="IP62" s="22"/>
      <c r="IQ62" s="22"/>
      <c r="IR62" s="22"/>
      <c r="IS62" s="22"/>
      <c r="IT62" s="22"/>
      <c r="IU62" s="22"/>
      <c r="IV62" s="22"/>
      <c r="IW62" s="22"/>
      <c r="IX62" s="22"/>
      <c r="IY62" s="22"/>
      <c r="IZ62" s="22"/>
      <c r="JA62" s="22"/>
      <c r="JB62" s="22"/>
      <c r="JC62" s="22"/>
      <c r="JD62" s="22"/>
      <c r="JE62" s="22"/>
      <c r="JJ62" s="22"/>
      <c r="JK62" s="22"/>
      <c r="JL62" s="22"/>
      <c r="JM62" s="22"/>
      <c r="JN62" s="22"/>
      <c r="JO62" s="22"/>
      <c r="JP62" s="22"/>
      <c r="JQ62" s="22"/>
      <c r="JR62" s="22"/>
      <c r="JS62" s="22"/>
      <c r="JT62" s="22"/>
      <c r="JU62" s="22"/>
      <c r="JV62" s="22"/>
      <c r="JW62" s="22"/>
      <c r="JX62" s="22"/>
      <c r="JY62" s="22"/>
      <c r="JZ62" s="22"/>
      <c r="KA62" s="22"/>
      <c r="KB62" s="22"/>
      <c r="KC62" s="22"/>
      <c r="KD62" s="22"/>
      <c r="KE62" s="22"/>
      <c r="KF62" s="22"/>
      <c r="KG62" s="22"/>
      <c r="KH62" s="22"/>
      <c r="KI62" s="22"/>
      <c r="KJ62" s="22"/>
      <c r="KK62" s="22"/>
      <c r="KL62" s="22"/>
      <c r="KM62" s="22"/>
      <c r="KN62" s="22"/>
      <c r="KO62" s="22"/>
      <c r="KP62" s="22"/>
      <c r="KQ62" s="22"/>
      <c r="KR62" s="22"/>
      <c r="KS62" s="22"/>
      <c r="KT62" s="22"/>
      <c r="KU62" s="22"/>
      <c r="KV62" s="22"/>
      <c r="KW62" s="22"/>
      <c r="KX62" s="22"/>
      <c r="KY62" s="22"/>
      <c r="KZ62" s="22"/>
      <c r="LA62" s="22"/>
      <c r="LB62" s="22"/>
      <c r="LC62" s="22"/>
      <c r="LD62" s="22"/>
      <c r="LE62" s="22"/>
      <c r="LF62" s="22"/>
      <c r="LG62" s="22"/>
      <c r="LH62" s="22"/>
      <c r="LI62" s="22"/>
      <c r="LJ62" s="22"/>
      <c r="LK62" s="22"/>
      <c r="LL62" s="22"/>
      <c r="LM62" s="22"/>
      <c r="LN62" s="22"/>
      <c r="LO62" s="22"/>
      <c r="LP62" s="22"/>
      <c r="LQ62" s="22"/>
      <c r="LR62" s="22"/>
      <c r="LS62" s="22"/>
      <c r="LT62" s="22"/>
      <c r="LU62" s="22"/>
      <c r="LV62" s="22"/>
      <c r="LW62" s="22"/>
      <c r="LX62" s="22"/>
      <c r="LY62" s="22"/>
      <c r="LZ62" s="22"/>
      <c r="MA62" s="22"/>
      <c r="MB62" s="22"/>
      <c r="MC62" s="22"/>
      <c r="MD62" s="22"/>
      <c r="ME62" s="22"/>
      <c r="MF62" s="22"/>
      <c r="MG62" s="22"/>
      <c r="MH62" s="22"/>
      <c r="MI62" s="22"/>
      <c r="MJ62" s="22"/>
      <c r="MK62" s="22"/>
      <c r="ML62" s="22"/>
      <c r="MM62" s="22"/>
      <c r="MN62" s="22"/>
      <c r="MO62" s="22"/>
      <c r="MP62" s="22"/>
      <c r="MQ62" s="22"/>
      <c r="MR62" s="22"/>
      <c r="MS62" s="22"/>
      <c r="MT62" s="22"/>
      <c r="MU62" s="22"/>
      <c r="MV62" s="22"/>
      <c r="MW62" s="22"/>
      <c r="MX62" s="22"/>
      <c r="MY62" s="22"/>
      <c r="MZ62" s="22"/>
      <c r="NA62" s="22"/>
      <c r="NB62" s="22"/>
      <c r="NC62" s="22"/>
      <c r="ND62" s="22"/>
      <c r="NE62" s="22"/>
      <c r="NF62" s="22"/>
      <c r="NG62" s="22"/>
      <c r="NH62" s="22"/>
      <c r="NI62" s="22"/>
      <c r="NJ62" s="22"/>
      <c r="NK62" s="22"/>
      <c r="NL62" s="22"/>
      <c r="NM62" s="22"/>
      <c r="NN62" s="22"/>
      <c r="NO62" s="22"/>
      <c r="NP62" s="22"/>
      <c r="NQ62" s="22"/>
      <c r="NR62" s="22"/>
      <c r="NS62" s="22"/>
      <c r="NT62" s="22"/>
      <c r="NU62" s="22"/>
      <c r="NV62" s="22"/>
      <c r="NW62" s="22"/>
      <c r="NX62" s="22"/>
      <c r="NY62" s="22"/>
      <c r="NZ62" s="22"/>
      <c r="OA62" s="22"/>
      <c r="OB62" s="22"/>
      <c r="OC62" s="22"/>
      <c r="OD62" s="22"/>
      <c r="OE62" s="22"/>
      <c r="OF62" s="22"/>
      <c r="OG62" s="22"/>
      <c r="OH62" s="22"/>
      <c r="OI62" s="22"/>
      <c r="OJ62" s="22"/>
      <c r="OK62" s="22"/>
      <c r="OL62" s="22"/>
      <c r="OM62" s="22"/>
      <c r="ON62" s="22"/>
      <c r="OO62" s="22"/>
      <c r="OP62" s="22"/>
      <c r="OQ62" s="22"/>
      <c r="OR62" s="22"/>
      <c r="OS62" s="22"/>
      <c r="OT62" s="22"/>
      <c r="OU62" s="22"/>
      <c r="OV62" s="22"/>
      <c r="OW62" s="22"/>
      <c r="OX62" s="22"/>
      <c r="OY62" s="22"/>
      <c r="OZ62" s="22"/>
      <c r="PA62" s="22"/>
      <c r="PB62" s="22"/>
      <c r="PC62" s="22"/>
      <c r="PD62" s="22"/>
      <c r="PE62" s="22"/>
      <c r="PF62" s="22"/>
      <c r="PG62" s="22"/>
      <c r="PH62" s="22"/>
      <c r="PI62" s="22"/>
      <c r="PJ62" s="22"/>
      <c r="PK62" s="22"/>
      <c r="PL62" s="22"/>
      <c r="PM62" s="22"/>
      <c r="PN62" s="22"/>
      <c r="PO62" s="22"/>
      <c r="PP62" s="22"/>
      <c r="PQ62" s="22"/>
      <c r="PR62" s="22"/>
      <c r="PS62" s="22"/>
      <c r="PT62" s="22"/>
      <c r="PU62" s="22"/>
      <c r="PV62" s="22"/>
      <c r="PW62" s="22"/>
      <c r="PX62" s="22"/>
      <c r="PY62" s="22"/>
      <c r="PZ62" s="22"/>
      <c r="QA62" s="22"/>
      <c r="QB62" s="22"/>
      <c r="QC62" s="22"/>
      <c r="QD62" s="22"/>
      <c r="QE62" s="22"/>
      <c r="QF62" s="22"/>
      <c r="QG62" s="22"/>
      <c r="QH62" s="22"/>
      <c r="QI62" s="22"/>
      <c r="QJ62" s="22"/>
      <c r="QK62" s="22"/>
      <c r="QL62" s="22"/>
      <c r="QM62" s="22"/>
      <c r="QN62" s="22"/>
      <c r="QO62" s="22"/>
      <c r="QP62" s="22"/>
      <c r="QQ62" s="22"/>
      <c r="QR62" s="22"/>
      <c r="QS62" s="22"/>
      <c r="QT62" s="22"/>
      <c r="QU62" s="22"/>
      <c r="QV62" s="22"/>
      <c r="QW62" s="22"/>
      <c r="QX62" s="22"/>
      <c r="QY62" s="22"/>
      <c r="QZ62" s="22"/>
      <c r="RA62" s="22"/>
      <c r="RB62" s="22"/>
      <c r="RC62" s="22"/>
      <c r="RD62" s="22"/>
      <c r="RE62" s="22"/>
      <c r="RF62" s="22"/>
      <c r="RG62" s="22"/>
      <c r="RH62" s="22"/>
      <c r="RI62" s="22"/>
      <c r="RJ62" s="22"/>
      <c r="RK62" s="22"/>
      <c r="RL62" s="22"/>
      <c r="RM62" s="22"/>
      <c r="RN62" s="22"/>
      <c r="RO62" s="22"/>
      <c r="RP62" s="22"/>
      <c r="RQ62" s="22"/>
      <c r="RR62" s="22"/>
      <c r="RS62" s="22"/>
      <c r="RT62" s="22"/>
      <c r="RU62" s="22"/>
      <c r="RV62" s="22"/>
      <c r="RW62" s="22"/>
      <c r="RX62" s="22"/>
      <c r="RY62" s="22"/>
      <c r="RZ62" s="22"/>
      <c r="SA62" s="22"/>
      <c r="SB62" s="22"/>
      <c r="SC62" s="22"/>
      <c r="SD62" s="22"/>
      <c r="SE62" s="22"/>
      <c r="SF62" s="22"/>
      <c r="SG62" s="22"/>
      <c r="SH62" s="22"/>
      <c r="SI62" s="22"/>
      <c r="SJ62" s="22"/>
      <c r="SK62" s="22"/>
      <c r="SL62" s="22"/>
      <c r="SM62" s="22"/>
      <c r="SN62" s="22"/>
      <c r="SO62" s="22"/>
      <c r="SP62" s="22"/>
      <c r="SQ62" s="22"/>
      <c r="SR62" s="22"/>
      <c r="SS62" s="22"/>
      <c r="ST62" s="22"/>
      <c r="SU62" s="22"/>
      <c r="SV62" s="22"/>
      <c r="SW62" s="22"/>
      <c r="SX62" s="22"/>
      <c r="SY62" s="22"/>
      <c r="SZ62" s="22"/>
      <c r="TA62" s="22"/>
      <c r="TB62" s="22"/>
      <c r="TC62" s="22"/>
      <c r="TD62" s="22"/>
      <c r="TE62" s="22"/>
      <c r="TF62" s="22"/>
      <c r="TG62" s="22"/>
      <c r="TH62" s="22"/>
      <c r="TI62" s="22"/>
      <c r="TJ62" s="22"/>
      <c r="TK62" s="22"/>
      <c r="TL62" s="22"/>
      <c r="TM62" s="22"/>
      <c r="TN62" s="22"/>
      <c r="TO62" s="22"/>
      <c r="TP62" s="22"/>
      <c r="TQ62" s="22"/>
      <c r="TR62" s="22"/>
      <c r="TS62" s="22"/>
      <c r="TT62" s="22"/>
      <c r="TU62" s="22"/>
      <c r="TV62" s="22"/>
      <c r="TW62" s="22"/>
      <c r="TX62" s="22"/>
      <c r="TY62" s="22"/>
      <c r="TZ62" s="22"/>
      <c r="UA62" s="22"/>
      <c r="UB62" s="22"/>
      <c r="UC62" s="22"/>
      <c r="UD62" s="22"/>
      <c r="UE62" s="22"/>
      <c r="UF62" s="22"/>
      <c r="UG62" s="22"/>
      <c r="UH62" s="22"/>
      <c r="UI62" s="22"/>
      <c r="UJ62" s="22"/>
      <c r="UK62" s="22"/>
      <c r="UL62" s="22"/>
      <c r="UM62" s="22"/>
      <c r="UN62" s="22"/>
      <c r="UO62" s="22"/>
      <c r="UP62" s="22"/>
      <c r="UQ62" s="22"/>
      <c r="UR62" s="22"/>
      <c r="US62" s="22"/>
      <c r="UT62" s="22"/>
      <c r="UU62" s="22"/>
      <c r="UV62" s="22"/>
      <c r="UW62" s="22"/>
      <c r="UX62" s="22"/>
      <c r="UY62" s="22"/>
      <c r="UZ62" s="22"/>
      <c r="VA62" s="22"/>
      <c r="VB62" s="22"/>
      <c r="VC62" s="22"/>
      <c r="VD62" s="22"/>
      <c r="VE62" s="22"/>
      <c r="VF62" s="22"/>
      <c r="VG62" s="22"/>
      <c r="VH62" s="22"/>
      <c r="VI62" s="22"/>
      <c r="VJ62" s="22"/>
      <c r="VK62" s="22"/>
      <c r="VL62" s="22"/>
      <c r="VM62" s="22"/>
      <c r="VN62" s="22"/>
      <c r="VO62" s="22"/>
      <c r="VP62" s="22"/>
      <c r="VQ62" s="22"/>
      <c r="VR62" s="22"/>
      <c r="VS62" s="22"/>
      <c r="VT62" s="22"/>
      <c r="VU62" s="22"/>
      <c r="VV62" s="22"/>
      <c r="VW62" s="22"/>
      <c r="VX62" s="22"/>
      <c r="VY62" s="22"/>
      <c r="VZ62" s="22"/>
      <c r="WA62" s="22"/>
      <c r="WB62" s="22"/>
      <c r="WC62" s="22"/>
      <c r="WD62" s="22"/>
      <c r="WE62" s="22"/>
      <c r="WF62" s="22"/>
      <c r="WG62" s="22"/>
      <c r="WH62" s="22"/>
      <c r="WI62" s="22"/>
      <c r="WJ62" s="22"/>
      <c r="WK62" s="22"/>
      <c r="WL62" s="22"/>
      <c r="WM62" s="22"/>
      <c r="WN62" s="22"/>
      <c r="WO62" s="22"/>
      <c r="WP62" s="22"/>
      <c r="WQ62" s="22"/>
      <c r="WR62" s="22"/>
      <c r="WS62" s="22"/>
      <c r="WT62" s="22"/>
      <c r="WU62" s="22"/>
      <c r="WV62" s="22"/>
      <c r="WW62" s="22"/>
      <c r="WX62" s="22"/>
      <c r="WY62" s="22"/>
      <c r="WZ62" s="22"/>
      <c r="XA62" s="22"/>
      <c r="XB62" s="22"/>
      <c r="XC62" s="22"/>
      <c r="XD62" s="22"/>
      <c r="XE62" s="22"/>
      <c r="XF62" s="22"/>
      <c r="XG62" s="22"/>
      <c r="XH62" s="22"/>
      <c r="XI62" s="22"/>
      <c r="XJ62" s="22"/>
      <c r="XK62" s="22"/>
      <c r="XL62" s="22"/>
      <c r="XM62" s="22"/>
      <c r="XN62" s="22"/>
      <c r="XO62" s="22"/>
      <c r="XP62" s="22"/>
      <c r="XQ62" s="22"/>
      <c r="XR62" s="22"/>
      <c r="XS62" s="22"/>
      <c r="XT62" s="22"/>
      <c r="XU62" s="22"/>
      <c r="XV62" s="22"/>
      <c r="XW62" s="22"/>
      <c r="XX62" s="22"/>
      <c r="XY62" s="22"/>
      <c r="XZ62" s="22"/>
      <c r="YA62" s="22"/>
      <c r="YB62" s="22"/>
      <c r="YC62" s="22"/>
      <c r="YD62" s="22"/>
      <c r="YE62" s="22"/>
      <c r="YF62" s="22"/>
      <c r="YG62" s="22"/>
      <c r="YH62" s="22"/>
      <c r="YI62" s="22"/>
      <c r="YJ62" s="22"/>
      <c r="YK62" s="22"/>
      <c r="YL62" s="22"/>
      <c r="YM62" s="22"/>
      <c r="YN62" s="22"/>
      <c r="YO62" s="22"/>
      <c r="YP62" s="22"/>
      <c r="YQ62" s="22"/>
      <c r="YR62" s="22"/>
      <c r="YS62" s="22"/>
      <c r="YT62" s="22"/>
      <c r="YU62" s="22"/>
      <c r="YV62" s="22"/>
      <c r="YW62" s="22"/>
      <c r="YX62" s="22"/>
      <c r="YY62" s="22"/>
      <c r="YZ62" s="22"/>
      <c r="ZA62" s="22"/>
      <c r="ZB62" s="22"/>
      <c r="ZC62" s="22"/>
      <c r="ZD62" s="22"/>
      <c r="ZE62" s="22"/>
      <c r="ZF62" s="22"/>
      <c r="ZG62" s="22"/>
      <c r="ZH62" s="22"/>
      <c r="ZI62" s="22"/>
      <c r="ZJ62" s="22"/>
      <c r="ZK62" s="22"/>
      <c r="ZL62" s="22"/>
      <c r="ZM62" s="22"/>
      <c r="ZN62" s="22"/>
      <c r="ZO62" s="22"/>
      <c r="ZP62" s="22"/>
      <c r="ZQ62" s="22"/>
      <c r="ZR62" s="22"/>
      <c r="ZS62" s="22"/>
      <c r="ZT62" s="22"/>
      <c r="ZU62" s="22"/>
      <c r="ZV62" s="22"/>
      <c r="ZW62" s="22"/>
      <c r="ZX62" s="22"/>
      <c r="ZY62" s="22"/>
      <c r="ZZ62" s="22"/>
      <c r="AAA62" s="22"/>
      <c r="AAB62" s="22"/>
      <c r="AAC62" s="22"/>
      <c r="AAD62" s="22"/>
      <c r="AAE62" s="22"/>
      <c r="AAF62" s="22"/>
      <c r="AAG62" s="22"/>
      <c r="AAH62" s="22"/>
      <c r="AAI62" s="22"/>
      <c r="AAJ62" s="22"/>
      <c r="AAK62" s="22"/>
      <c r="AAL62" s="22"/>
      <c r="AAM62" s="22"/>
      <c r="AAN62" s="22"/>
      <c r="AAO62" s="22"/>
      <c r="AAP62" s="22"/>
      <c r="AAQ62" s="22"/>
      <c r="AAR62" s="22"/>
      <c r="AAS62" s="22"/>
      <c r="AAT62" s="22"/>
      <c r="AAU62" s="22"/>
      <c r="AAV62" s="22"/>
      <c r="AAW62" s="22"/>
      <c r="AAX62" s="22"/>
      <c r="AAY62" s="22"/>
      <c r="AAZ62" s="22"/>
      <c r="ABA62" s="22"/>
      <c r="ABB62" s="22"/>
      <c r="ABC62" s="22"/>
    </row>
    <row r="63" spans="1:731" s="61" customFormat="1" ht="15" customHeight="1" thickBot="1" x14ac:dyDescent="0.35">
      <c r="A63" s="341"/>
      <c r="B63" s="76"/>
      <c r="C63" s="77"/>
      <c r="D63" s="54"/>
      <c r="E63" s="181" t="s">
        <v>100</v>
      </c>
      <c r="F63" s="182">
        <f>SUM(F61:F62)</f>
        <v>260.49401392893327</v>
      </c>
      <c r="G63" s="182">
        <f t="shared" ref="G63:I64" si="72">SUM(G61:G62)</f>
        <v>409.44875830396791</v>
      </c>
      <c r="H63" s="182">
        <f t="shared" si="72"/>
        <v>-148.95474437503464</v>
      </c>
      <c r="I63" s="183">
        <f t="shared" si="72"/>
        <v>-0.36379337183006699</v>
      </c>
      <c r="J63" s="184">
        <f>SUM(J61:J62)</f>
        <v>77765.589200000002</v>
      </c>
      <c r="K63" s="184">
        <f>SUM(K61:K62)</f>
        <v>122233.227</v>
      </c>
      <c r="L63" s="40">
        <f t="shared" si="65"/>
        <v>-44467.637799999997</v>
      </c>
      <c r="M63" s="183">
        <f>SUM(M61:M62)</f>
        <v>-0.3637933718300671</v>
      </c>
      <c r="N63" s="54">
        <f>SUM(N61:N62)</f>
        <v>25756.50086</v>
      </c>
      <c r="O63" s="54">
        <f>SUM(O61:O62)</f>
        <v>42328.714999999997</v>
      </c>
      <c r="P63" s="40">
        <f t="shared" si="66"/>
        <v>-16572.214139999996</v>
      </c>
      <c r="Q63" s="169">
        <f t="shared" si="2"/>
        <v>-0.39151233719237633</v>
      </c>
      <c r="R63" s="54"/>
      <c r="S63" s="54"/>
      <c r="T63" s="40">
        <f t="shared" si="67"/>
        <v>0</v>
      </c>
      <c r="U63" s="169"/>
      <c r="V63" s="54">
        <f>SUM(V61:V62)</f>
        <v>24059.61421</v>
      </c>
      <c r="W63" s="54">
        <f>SUM(W61:W62)</f>
        <v>28159.093000000001</v>
      </c>
      <c r="X63" s="40">
        <f t="shared" si="68"/>
        <v>-4099.478790000001</v>
      </c>
      <c r="Y63" s="169">
        <f t="shared" si="4"/>
        <v>-0.14558277107859977</v>
      </c>
      <c r="Z63" s="54">
        <f>SUM(Z61:Z62)</f>
        <v>1696.8866500000399</v>
      </c>
      <c r="AA63" s="54">
        <f>SUM(AA61:AA62)</f>
        <v>14169.621999999999</v>
      </c>
      <c r="AB63" s="40">
        <f t="shared" si="69"/>
        <v>-12472.735349999959</v>
      </c>
      <c r="AC63" s="170">
        <f t="shared" si="5"/>
        <v>-0.88024474823675325</v>
      </c>
      <c r="AD63" s="185"/>
      <c r="AE63" s="185"/>
      <c r="AF63" s="40">
        <f t="shared" si="6"/>
        <v>0</v>
      </c>
      <c r="AG63" s="171" t="str">
        <f t="shared" si="7"/>
        <v/>
      </c>
      <c r="AH63" s="171"/>
      <c r="AI63" s="174"/>
      <c r="AJ63" s="40">
        <f t="shared" si="8"/>
        <v>0</v>
      </c>
      <c r="AK63" s="171" t="str">
        <f>IFERROR(IF(AI63&lt;0,-(AH63-AI63)/AI63,(AH63-AI63)/AI63),"")</f>
        <v/>
      </c>
      <c r="AL63" s="174">
        <f>SUM(AL61:AL62)</f>
        <v>1696.8866500000399</v>
      </c>
      <c r="AM63" s="174">
        <f>SUM(AM61:AM62)</f>
        <v>14169.621999999999</v>
      </c>
      <c r="AN63" s="40">
        <f t="shared" si="9"/>
        <v>-12472.735349999959</v>
      </c>
      <c r="AO63" s="201">
        <f t="shared" si="10"/>
        <v>-0.88024474823675325</v>
      </c>
      <c r="AP63" s="342"/>
      <c r="AQ63" s="55"/>
      <c r="AR63" s="289">
        <f t="shared" si="11"/>
        <v>-3.9563019527122378E-11</v>
      </c>
      <c r="AS63" s="289">
        <f t="shared" si="12"/>
        <v>0</v>
      </c>
      <c r="AT63" s="289">
        <f t="shared" si="13"/>
        <v>0</v>
      </c>
      <c r="AU63" s="289">
        <f t="shared" si="14"/>
        <v>0</v>
      </c>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c r="CF63" s="55"/>
      <c r="CG63" s="55"/>
      <c r="CH63" s="55"/>
      <c r="CI63" s="55"/>
      <c r="CJ63" s="55"/>
      <c r="CK63" s="55"/>
      <c r="CL63" s="55"/>
      <c r="CM63" s="55"/>
      <c r="CN63" s="55"/>
      <c r="CO63" s="55"/>
      <c r="CP63" s="55"/>
      <c r="CQ63" s="55"/>
      <c r="CR63" s="55"/>
      <c r="CS63" s="55"/>
      <c r="CT63" s="55"/>
      <c r="CU63" s="55"/>
      <c r="CV63" s="55"/>
      <c r="CW63" s="55"/>
      <c r="CX63" s="55"/>
      <c r="CY63" s="55"/>
      <c r="CZ63" s="55"/>
      <c r="DA63" s="55"/>
      <c r="DB63" s="55"/>
      <c r="DC63" s="55"/>
      <c r="DD63" s="55"/>
      <c r="DE63" s="55"/>
      <c r="DF63" s="55"/>
      <c r="DG63" s="55"/>
      <c r="DH63" s="55"/>
      <c r="DI63" s="55"/>
      <c r="DJ63" s="55"/>
      <c r="DK63" s="55"/>
      <c r="DL63" s="55"/>
      <c r="DM63" s="55"/>
      <c r="DN63" s="55"/>
      <c r="DO63" s="55"/>
      <c r="DP63" s="55"/>
      <c r="DQ63" s="55"/>
      <c r="DR63" s="55"/>
      <c r="DS63" s="55"/>
      <c r="DT63" s="55"/>
      <c r="DU63" s="55"/>
      <c r="DV63" s="55"/>
      <c r="DW63" s="55"/>
      <c r="DX63" s="55"/>
      <c r="DY63" s="55"/>
      <c r="DZ63" s="55"/>
      <c r="EA63" s="55"/>
      <c r="EB63" s="55"/>
      <c r="EC63" s="55"/>
      <c r="ED63" s="55"/>
      <c r="EE63" s="55"/>
      <c r="EF63" s="55"/>
      <c r="EG63" s="55"/>
      <c r="EH63" s="55"/>
      <c r="EI63" s="55"/>
      <c r="EJ63" s="55"/>
      <c r="EK63" s="55"/>
      <c r="EL63" s="55"/>
      <c r="EM63" s="55"/>
      <c r="EN63" s="55"/>
      <c r="EO63" s="55"/>
      <c r="EP63" s="55"/>
      <c r="EQ63" s="55"/>
      <c r="ER63" s="55"/>
      <c r="ES63" s="55"/>
      <c r="ET63" s="55"/>
      <c r="EU63" s="55"/>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c r="HA63" s="55"/>
      <c r="HB63" s="55"/>
      <c r="HC63" s="55"/>
      <c r="HD63" s="55"/>
      <c r="HE63" s="55"/>
      <c r="HF63" s="55"/>
      <c r="HG63" s="55"/>
      <c r="HH63" s="55"/>
      <c r="HI63" s="55"/>
      <c r="HJ63" s="55"/>
      <c r="HK63" s="55"/>
      <c r="HL63" s="55"/>
      <c r="HM63" s="55"/>
      <c r="HN63" s="55"/>
      <c r="HO63" s="55"/>
      <c r="HP63" s="55"/>
      <c r="HQ63" s="55"/>
      <c r="HR63" s="55"/>
      <c r="HS63" s="55"/>
      <c r="HT63" s="55"/>
      <c r="HU63" s="55"/>
      <c r="HV63" s="55"/>
      <c r="HW63" s="55"/>
      <c r="HX63" s="55"/>
      <c r="HY63" s="55"/>
      <c r="HZ63" s="55"/>
      <c r="IA63" s="55"/>
      <c r="IB63" s="55"/>
      <c r="IC63" s="55"/>
      <c r="ID63" s="55"/>
      <c r="IE63" s="55"/>
      <c r="IF63" s="55"/>
      <c r="IG63" s="55"/>
      <c r="IH63" s="55"/>
      <c r="II63" s="55"/>
      <c r="IJ63" s="55"/>
      <c r="IK63" s="55"/>
      <c r="IL63" s="55"/>
      <c r="IM63" s="55"/>
      <c r="IN63" s="55"/>
      <c r="IO63" s="55"/>
      <c r="IP63" s="55"/>
      <c r="IQ63" s="55"/>
      <c r="IR63" s="55"/>
      <c r="IS63" s="55"/>
      <c r="IT63" s="55"/>
      <c r="IU63" s="55"/>
      <c r="IV63" s="55"/>
      <c r="IW63" s="55"/>
      <c r="IX63" s="55"/>
      <c r="IY63" s="55"/>
      <c r="IZ63" s="55"/>
      <c r="JA63" s="55"/>
      <c r="JB63" s="55"/>
      <c r="JC63" s="55"/>
      <c r="JD63" s="55"/>
      <c r="JE63" s="55"/>
      <c r="JJ63" s="55"/>
      <c r="JK63" s="55"/>
      <c r="JL63" s="55"/>
      <c r="JM63" s="55"/>
      <c r="JN63" s="55"/>
      <c r="JO63" s="55"/>
      <c r="JP63" s="55"/>
      <c r="JQ63" s="55"/>
      <c r="JR63" s="55"/>
      <c r="JS63" s="55"/>
      <c r="JT63" s="55"/>
      <c r="JU63" s="55"/>
      <c r="JV63" s="55"/>
      <c r="JW63" s="55"/>
      <c r="JX63" s="55"/>
      <c r="JY63" s="55"/>
      <c r="JZ63" s="55"/>
      <c r="KA63" s="55"/>
      <c r="KB63" s="55"/>
      <c r="KC63" s="55"/>
      <c r="KD63" s="55"/>
      <c r="KE63" s="55"/>
      <c r="KF63" s="55"/>
      <c r="KG63" s="55"/>
      <c r="KH63" s="55"/>
      <c r="KI63" s="55"/>
      <c r="KJ63" s="55"/>
      <c r="KK63" s="55"/>
      <c r="KL63" s="55"/>
      <c r="KM63" s="55"/>
      <c r="KN63" s="55"/>
      <c r="KO63" s="55"/>
      <c r="KP63" s="55"/>
      <c r="KQ63" s="55"/>
      <c r="KR63" s="55"/>
      <c r="KS63" s="55"/>
      <c r="KT63" s="55"/>
      <c r="KU63" s="55"/>
      <c r="KV63" s="55"/>
      <c r="KW63" s="55"/>
      <c r="KX63" s="55"/>
      <c r="KY63" s="55"/>
      <c r="KZ63" s="55"/>
      <c r="LA63" s="55"/>
      <c r="LB63" s="55"/>
      <c r="LC63" s="55"/>
      <c r="LD63" s="55"/>
      <c r="LE63" s="55"/>
      <c r="LF63" s="55"/>
      <c r="LG63" s="55"/>
      <c r="LH63" s="55"/>
      <c r="LI63" s="55"/>
      <c r="LJ63" s="55"/>
      <c r="LK63" s="55"/>
      <c r="LL63" s="55"/>
      <c r="LM63" s="55"/>
      <c r="LN63" s="55"/>
      <c r="LO63" s="55"/>
      <c r="LP63" s="55"/>
      <c r="LQ63" s="55"/>
      <c r="LR63" s="55"/>
      <c r="LS63" s="55"/>
      <c r="LT63" s="55"/>
      <c r="LU63" s="55"/>
      <c r="LV63" s="55"/>
      <c r="LW63" s="55"/>
      <c r="LX63" s="55"/>
      <c r="LY63" s="55"/>
      <c r="LZ63" s="55"/>
      <c r="MA63" s="55"/>
      <c r="MB63" s="55"/>
      <c r="MC63" s="55"/>
      <c r="MD63" s="55"/>
      <c r="ME63" s="55"/>
      <c r="MF63" s="55"/>
      <c r="MG63" s="55"/>
      <c r="MH63" s="55"/>
      <c r="MI63" s="55"/>
      <c r="MJ63" s="55"/>
      <c r="MK63" s="55"/>
      <c r="ML63" s="55"/>
      <c r="MM63" s="55"/>
      <c r="MN63" s="55"/>
      <c r="MO63" s="55"/>
      <c r="MP63" s="55"/>
      <c r="MQ63" s="55"/>
      <c r="MR63" s="55"/>
      <c r="MS63" s="55"/>
      <c r="MT63" s="55"/>
      <c r="MU63" s="55"/>
      <c r="MV63" s="55"/>
      <c r="MW63" s="55"/>
      <c r="MX63" s="55"/>
      <c r="MY63" s="55"/>
      <c r="MZ63" s="55"/>
      <c r="NA63" s="55"/>
      <c r="NB63" s="55"/>
      <c r="NC63" s="55"/>
      <c r="ND63" s="55"/>
      <c r="NE63" s="55"/>
      <c r="NF63" s="55"/>
      <c r="NG63" s="55"/>
      <c r="NH63" s="55"/>
      <c r="NI63" s="55"/>
      <c r="NJ63" s="55"/>
      <c r="NK63" s="55"/>
      <c r="NL63" s="55"/>
      <c r="NM63" s="55"/>
      <c r="NN63" s="55"/>
      <c r="NO63" s="55"/>
      <c r="NP63" s="55"/>
      <c r="NQ63" s="55"/>
      <c r="NR63" s="55"/>
      <c r="NS63" s="55"/>
      <c r="NT63" s="55"/>
      <c r="NU63" s="55"/>
      <c r="NV63" s="55"/>
      <c r="NW63" s="55"/>
      <c r="NX63" s="55"/>
      <c r="NY63" s="55"/>
      <c r="NZ63" s="55"/>
      <c r="OA63" s="55"/>
      <c r="OB63" s="55"/>
      <c r="OC63" s="55"/>
      <c r="OD63" s="55"/>
      <c r="OE63" s="55"/>
      <c r="OF63" s="55"/>
      <c r="OG63" s="55"/>
      <c r="OH63" s="55"/>
      <c r="OI63" s="55"/>
      <c r="OJ63" s="55"/>
      <c r="OK63" s="55"/>
      <c r="OL63" s="55"/>
      <c r="OM63" s="55"/>
      <c r="ON63" s="55"/>
      <c r="OO63" s="55"/>
      <c r="OP63" s="55"/>
      <c r="OQ63" s="55"/>
      <c r="OR63" s="55"/>
      <c r="OS63" s="55"/>
      <c r="OT63" s="55"/>
      <c r="OU63" s="55"/>
      <c r="OV63" s="55"/>
      <c r="OW63" s="55"/>
      <c r="OX63" s="55"/>
      <c r="OY63" s="55"/>
      <c r="OZ63" s="55"/>
      <c r="PA63" s="55"/>
      <c r="PB63" s="55"/>
      <c r="PC63" s="55"/>
      <c r="PD63" s="55"/>
      <c r="PE63" s="55"/>
      <c r="PF63" s="55"/>
      <c r="PG63" s="55"/>
      <c r="PH63" s="55"/>
      <c r="PI63" s="55"/>
      <c r="PJ63" s="55"/>
      <c r="PK63" s="55"/>
      <c r="PL63" s="55"/>
      <c r="PM63" s="55"/>
      <c r="PN63" s="55"/>
      <c r="PO63" s="55"/>
      <c r="PP63" s="55"/>
      <c r="PQ63" s="55"/>
      <c r="PR63" s="55"/>
      <c r="PS63" s="55"/>
      <c r="PT63" s="55"/>
      <c r="PU63" s="55"/>
      <c r="PV63" s="55"/>
      <c r="PW63" s="55"/>
      <c r="PX63" s="55"/>
      <c r="PY63" s="55"/>
      <c r="PZ63" s="55"/>
      <c r="QA63" s="55"/>
      <c r="QB63" s="55"/>
      <c r="QC63" s="55"/>
      <c r="QD63" s="55"/>
      <c r="QE63" s="55"/>
      <c r="QF63" s="55"/>
      <c r="QG63" s="55"/>
      <c r="QH63" s="55"/>
      <c r="QI63" s="55"/>
      <c r="QJ63" s="55"/>
      <c r="QK63" s="55"/>
      <c r="QL63" s="55"/>
      <c r="QM63" s="55"/>
      <c r="QN63" s="55"/>
      <c r="QO63" s="55"/>
      <c r="QP63" s="55"/>
      <c r="QQ63" s="55"/>
      <c r="QR63" s="55"/>
      <c r="QS63" s="55"/>
      <c r="QT63" s="55"/>
      <c r="QU63" s="55"/>
      <c r="QV63" s="55"/>
      <c r="QW63" s="55"/>
      <c r="QX63" s="55"/>
      <c r="QY63" s="55"/>
      <c r="QZ63" s="55"/>
      <c r="RA63" s="55"/>
      <c r="RB63" s="55"/>
      <c r="RC63" s="55"/>
      <c r="RD63" s="55"/>
      <c r="RE63" s="55"/>
      <c r="RF63" s="55"/>
      <c r="RG63" s="55"/>
      <c r="RH63" s="55"/>
      <c r="RI63" s="55"/>
      <c r="RJ63" s="55"/>
      <c r="RK63" s="55"/>
      <c r="RL63" s="55"/>
      <c r="RM63" s="55"/>
      <c r="RN63" s="55"/>
      <c r="RO63" s="55"/>
      <c r="RP63" s="55"/>
      <c r="RQ63" s="55"/>
      <c r="RR63" s="55"/>
      <c r="RS63" s="55"/>
      <c r="RT63" s="55"/>
      <c r="RU63" s="55"/>
      <c r="RV63" s="55"/>
      <c r="RW63" s="55"/>
      <c r="RX63" s="55"/>
      <c r="RY63" s="55"/>
      <c r="RZ63" s="55"/>
      <c r="SA63" s="55"/>
      <c r="SB63" s="55"/>
      <c r="SC63" s="55"/>
      <c r="SD63" s="55"/>
      <c r="SE63" s="55"/>
      <c r="SF63" s="55"/>
      <c r="SG63" s="55"/>
      <c r="SH63" s="55"/>
      <c r="SI63" s="55"/>
      <c r="SJ63" s="55"/>
      <c r="SK63" s="55"/>
      <c r="SL63" s="55"/>
      <c r="SM63" s="55"/>
      <c r="SN63" s="55"/>
      <c r="SO63" s="55"/>
      <c r="SP63" s="55"/>
      <c r="SQ63" s="55"/>
      <c r="SR63" s="55"/>
      <c r="SS63" s="55"/>
      <c r="ST63" s="55"/>
      <c r="SU63" s="55"/>
      <c r="SV63" s="55"/>
      <c r="SW63" s="55"/>
      <c r="SX63" s="55"/>
      <c r="SY63" s="55"/>
      <c r="SZ63" s="55"/>
      <c r="TA63" s="55"/>
      <c r="TB63" s="55"/>
      <c r="TC63" s="55"/>
      <c r="TD63" s="55"/>
      <c r="TE63" s="55"/>
      <c r="TF63" s="55"/>
      <c r="TG63" s="55"/>
      <c r="TH63" s="55"/>
      <c r="TI63" s="55"/>
      <c r="TJ63" s="55"/>
      <c r="TK63" s="55"/>
      <c r="TL63" s="55"/>
      <c r="TM63" s="55"/>
      <c r="TN63" s="55"/>
      <c r="TO63" s="55"/>
      <c r="TP63" s="55"/>
      <c r="TQ63" s="55"/>
      <c r="TR63" s="55"/>
      <c r="TS63" s="55"/>
      <c r="TT63" s="55"/>
      <c r="TU63" s="55"/>
      <c r="TV63" s="55"/>
      <c r="TW63" s="55"/>
      <c r="TX63" s="55"/>
      <c r="TY63" s="55"/>
      <c r="TZ63" s="55"/>
      <c r="UA63" s="55"/>
      <c r="UB63" s="55"/>
      <c r="UC63" s="55"/>
      <c r="UD63" s="55"/>
      <c r="UE63" s="55"/>
      <c r="UF63" s="55"/>
      <c r="UG63" s="55"/>
      <c r="UH63" s="55"/>
      <c r="UI63" s="55"/>
      <c r="UJ63" s="55"/>
      <c r="UK63" s="55"/>
      <c r="UL63" s="55"/>
      <c r="UM63" s="55"/>
      <c r="UN63" s="55"/>
      <c r="UO63" s="55"/>
      <c r="UP63" s="55"/>
      <c r="UQ63" s="55"/>
      <c r="UR63" s="55"/>
      <c r="US63" s="55"/>
      <c r="UT63" s="55"/>
      <c r="UU63" s="55"/>
      <c r="UV63" s="55"/>
      <c r="UW63" s="55"/>
      <c r="UX63" s="55"/>
      <c r="UY63" s="55"/>
      <c r="UZ63" s="55"/>
      <c r="VA63" s="55"/>
      <c r="VB63" s="55"/>
      <c r="VC63" s="55"/>
      <c r="VD63" s="55"/>
      <c r="VE63" s="55"/>
      <c r="VF63" s="55"/>
      <c r="VG63" s="55"/>
      <c r="VH63" s="55"/>
      <c r="VI63" s="55"/>
      <c r="VJ63" s="55"/>
      <c r="VK63" s="55"/>
      <c r="VL63" s="55"/>
      <c r="VM63" s="55"/>
      <c r="VN63" s="55"/>
      <c r="VO63" s="55"/>
      <c r="VP63" s="55"/>
      <c r="VQ63" s="55"/>
      <c r="VR63" s="55"/>
      <c r="VS63" s="55"/>
      <c r="VT63" s="55"/>
      <c r="VU63" s="55"/>
      <c r="VV63" s="55"/>
      <c r="VW63" s="55"/>
      <c r="VX63" s="55"/>
      <c r="VY63" s="55"/>
      <c r="VZ63" s="55"/>
      <c r="WA63" s="55"/>
      <c r="WB63" s="55"/>
      <c r="WC63" s="55"/>
      <c r="WD63" s="55"/>
      <c r="WE63" s="55"/>
      <c r="WF63" s="55"/>
      <c r="WG63" s="55"/>
      <c r="WH63" s="55"/>
      <c r="WI63" s="55"/>
      <c r="WJ63" s="55"/>
      <c r="WK63" s="55"/>
      <c r="WL63" s="55"/>
      <c r="WM63" s="55"/>
      <c r="WN63" s="55"/>
      <c r="WO63" s="55"/>
      <c r="WP63" s="55"/>
      <c r="WQ63" s="55"/>
      <c r="WR63" s="55"/>
      <c r="WS63" s="55"/>
      <c r="WT63" s="55"/>
      <c r="WU63" s="55"/>
      <c r="WV63" s="55"/>
      <c r="WW63" s="55"/>
      <c r="WX63" s="55"/>
      <c r="WY63" s="55"/>
      <c r="WZ63" s="55"/>
      <c r="XA63" s="55"/>
      <c r="XB63" s="55"/>
      <c r="XC63" s="55"/>
      <c r="XD63" s="55"/>
      <c r="XE63" s="55"/>
      <c r="XF63" s="55"/>
      <c r="XG63" s="55"/>
      <c r="XH63" s="55"/>
      <c r="XI63" s="55"/>
      <c r="XJ63" s="55"/>
      <c r="XK63" s="55"/>
      <c r="XL63" s="55"/>
      <c r="XM63" s="55"/>
      <c r="XN63" s="55"/>
      <c r="XO63" s="55"/>
      <c r="XP63" s="55"/>
      <c r="XQ63" s="55"/>
      <c r="XR63" s="55"/>
      <c r="XS63" s="55"/>
      <c r="XT63" s="55"/>
      <c r="XU63" s="55"/>
      <c r="XV63" s="55"/>
      <c r="XW63" s="55"/>
      <c r="XX63" s="55"/>
      <c r="XY63" s="55"/>
      <c r="XZ63" s="55"/>
      <c r="YA63" s="55"/>
      <c r="YB63" s="55"/>
      <c r="YC63" s="55"/>
      <c r="YD63" s="55"/>
      <c r="YE63" s="55"/>
      <c r="YF63" s="55"/>
      <c r="YG63" s="55"/>
      <c r="YH63" s="55"/>
      <c r="YI63" s="55"/>
      <c r="YJ63" s="55"/>
      <c r="YK63" s="55"/>
      <c r="YL63" s="55"/>
      <c r="YM63" s="55"/>
      <c r="YN63" s="55"/>
      <c r="YO63" s="55"/>
      <c r="YP63" s="55"/>
      <c r="YQ63" s="55"/>
      <c r="YR63" s="55"/>
      <c r="YS63" s="55"/>
      <c r="YT63" s="55"/>
      <c r="YU63" s="55"/>
      <c r="YV63" s="55"/>
      <c r="YW63" s="55"/>
      <c r="YX63" s="55"/>
      <c r="YY63" s="55"/>
      <c r="YZ63" s="55"/>
      <c r="ZA63" s="55"/>
      <c r="ZB63" s="55"/>
      <c r="ZC63" s="55"/>
      <c r="ZD63" s="55"/>
      <c r="ZE63" s="55"/>
      <c r="ZF63" s="55"/>
      <c r="ZG63" s="55"/>
      <c r="ZH63" s="55"/>
      <c r="ZI63" s="55"/>
      <c r="ZJ63" s="55"/>
      <c r="ZK63" s="55"/>
      <c r="ZL63" s="55"/>
      <c r="ZM63" s="55"/>
      <c r="ZN63" s="55"/>
      <c r="ZO63" s="55"/>
      <c r="ZP63" s="55"/>
      <c r="ZQ63" s="55"/>
      <c r="ZR63" s="55"/>
      <c r="ZS63" s="55"/>
      <c r="ZT63" s="55"/>
      <c r="ZU63" s="55"/>
      <c r="ZV63" s="55"/>
      <c r="ZW63" s="55"/>
      <c r="ZX63" s="55"/>
      <c r="ZY63" s="55"/>
      <c r="ZZ63" s="55"/>
      <c r="AAA63" s="55"/>
      <c r="AAB63" s="55"/>
      <c r="AAC63" s="55"/>
      <c r="AAD63" s="55"/>
      <c r="AAE63" s="55"/>
      <c r="AAF63" s="55"/>
      <c r="AAG63" s="55"/>
      <c r="AAH63" s="55"/>
      <c r="AAI63" s="55"/>
      <c r="AAJ63" s="55"/>
      <c r="AAK63" s="55"/>
      <c r="AAL63" s="55"/>
      <c r="AAM63" s="55"/>
      <c r="AAN63" s="55"/>
      <c r="AAO63" s="55"/>
      <c r="AAP63" s="55"/>
      <c r="AAQ63" s="55"/>
      <c r="AAR63" s="55"/>
      <c r="AAS63" s="55"/>
      <c r="AAT63" s="55"/>
      <c r="AAU63" s="55"/>
      <c r="AAV63" s="55"/>
      <c r="AAW63" s="55"/>
      <c r="AAX63" s="55"/>
      <c r="AAY63" s="55"/>
      <c r="AAZ63" s="55"/>
      <c r="ABA63" s="55"/>
      <c r="ABB63" s="55"/>
      <c r="ABC63" s="55"/>
    </row>
    <row r="64" spans="1:731" ht="15" customHeight="1" thickBot="1" x14ac:dyDescent="0.35">
      <c r="A64" s="397" t="s">
        <v>101</v>
      </c>
      <c r="B64" s="154"/>
      <c r="C64" s="351"/>
      <c r="D64" s="352" t="s">
        <v>11</v>
      </c>
      <c r="E64" s="353" t="s">
        <v>102</v>
      </c>
      <c r="F64" s="151">
        <f>J64/$F$2</f>
        <v>212.78801384892748</v>
      </c>
      <c r="G64" s="150">
        <f>K64/$F$2</f>
        <v>217.65835855446778</v>
      </c>
      <c r="H64" s="165">
        <f t="shared" si="72"/>
        <v>-148.95474437503464</v>
      </c>
      <c r="I64" s="354">
        <f t="shared" si="72"/>
        <v>-0.36379337183006699</v>
      </c>
      <c r="J64" s="151">
        <f>63523860/1000</f>
        <v>63523.86</v>
      </c>
      <c r="K64" s="157">
        <f>64977809.8237252/1000</f>
        <v>64977.809823725198</v>
      </c>
      <c r="L64" s="165">
        <f t="shared" si="65"/>
        <v>-1453.9498237251973</v>
      </c>
      <c r="M64" s="354">
        <f>SUM(M62:M63)</f>
        <v>-0.3637933718300671</v>
      </c>
      <c r="N64" s="151">
        <f>66099805/1000</f>
        <v>66099.804999999993</v>
      </c>
      <c r="O64" s="157">
        <f>67772224.9181052/1000</f>
        <v>67772.224918105203</v>
      </c>
      <c r="P64" s="165">
        <f t="shared" si="66"/>
        <v>-1672.4199181052099</v>
      </c>
      <c r="Q64" s="354">
        <f t="shared" si="2"/>
        <v>-2.4677069701136912E-2</v>
      </c>
      <c r="R64" s="151"/>
      <c r="S64" s="150"/>
      <c r="T64" s="165"/>
      <c r="U64" s="354"/>
      <c r="V64" s="151">
        <f>76837343.31/1000</f>
        <v>76837.343309999997</v>
      </c>
      <c r="W64" s="150">
        <f>72176699.2576783/1000</f>
        <v>72176.699257678294</v>
      </c>
      <c r="X64" s="165">
        <f t="shared" si="68"/>
        <v>4660.6440523217025</v>
      </c>
      <c r="Y64" s="354">
        <f t="shared" si="4"/>
        <v>6.4572695901245369E-2</v>
      </c>
      <c r="Z64" s="151">
        <f>-10737538.31/1000</f>
        <v>-10737.53831</v>
      </c>
      <c r="AA64" s="157">
        <f>-4404474.33957317/1000</f>
        <v>-4404.4743395731703</v>
      </c>
      <c r="AB64" s="165">
        <f t="shared" si="69"/>
        <v>-6333.0639704268297</v>
      </c>
      <c r="AC64" s="355">
        <f t="shared" si="5"/>
        <v>-1.4378705566577454</v>
      </c>
      <c r="AD64" s="356"/>
      <c r="AE64" s="357"/>
      <c r="AF64" s="161"/>
      <c r="AG64" s="358"/>
      <c r="AH64" s="359">
        <f>3981837/1000</f>
        <v>3981.837</v>
      </c>
      <c r="AI64" s="360">
        <f>3981837/1000</f>
        <v>3981.837</v>
      </c>
      <c r="AJ64" s="161"/>
      <c r="AK64" s="355"/>
      <c r="AL64" s="361">
        <f>-6755701.31/1000</f>
        <v>-6755.7013099999995</v>
      </c>
      <c r="AM64" s="362">
        <f>-422637.339573175/1000</f>
        <v>-422.63733957317498</v>
      </c>
      <c r="AN64" s="165">
        <f t="shared" si="9"/>
        <v>-6333.0639704268242</v>
      </c>
      <c r="AO64" s="355">
        <f t="shared" si="10"/>
        <v>-14.9846295569214</v>
      </c>
      <c r="AP64" s="51"/>
      <c r="AQ64" s="22"/>
      <c r="AR64" s="1">
        <f t="shared" si="11"/>
        <v>0</v>
      </c>
      <c r="AS64" s="1">
        <f t="shared" si="12"/>
        <v>7.9126039054244757E-11</v>
      </c>
      <c r="AT64" s="1">
        <f t="shared" si="13"/>
        <v>0</v>
      </c>
      <c r="AU64" s="1">
        <f t="shared" si="14"/>
        <v>4.7180037654470652E-12</v>
      </c>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22"/>
      <c r="HT64" s="22"/>
      <c r="HU64" s="22"/>
      <c r="HV64" s="22"/>
      <c r="HW64" s="22"/>
      <c r="HX64" s="22"/>
      <c r="HY64" s="22"/>
      <c r="HZ64" s="22"/>
      <c r="IA64" s="22"/>
      <c r="IB64" s="22"/>
      <c r="IC64" s="22"/>
      <c r="ID64" s="22"/>
      <c r="IE64" s="22"/>
      <c r="IF64" s="22"/>
      <c r="IG64" s="22"/>
      <c r="IH64" s="22"/>
      <c r="II64" s="22"/>
      <c r="IJ64" s="22"/>
      <c r="IK64" s="22"/>
      <c r="IL64" s="22"/>
      <c r="IM64" s="22"/>
      <c r="IN64" s="22"/>
      <c r="IO64" s="22"/>
      <c r="IP64" s="22"/>
      <c r="IQ64" s="22"/>
      <c r="IR64" s="22"/>
      <c r="IS64" s="22"/>
      <c r="IT64" s="22"/>
      <c r="IU64" s="22"/>
      <c r="IV64" s="22"/>
      <c r="IW64" s="22"/>
      <c r="IX64" s="22"/>
      <c r="IY64" s="22"/>
      <c r="IZ64" s="22"/>
      <c r="JA64" s="22"/>
      <c r="JB64" s="22"/>
      <c r="JC64" s="22"/>
      <c r="JD64" s="22"/>
      <c r="JE64" s="22"/>
      <c r="JJ64" s="22"/>
      <c r="JK64" s="22"/>
      <c r="JL64" s="22"/>
      <c r="JM64" s="22"/>
      <c r="JN64" s="22"/>
      <c r="JO64" s="22"/>
      <c r="JP64" s="22"/>
      <c r="JQ64" s="22"/>
      <c r="JR64" s="22"/>
      <c r="JS64" s="22"/>
      <c r="JT64" s="22"/>
      <c r="JU64" s="22"/>
      <c r="JV64" s="22"/>
      <c r="JW64" s="22"/>
      <c r="JX64" s="22"/>
      <c r="JY64" s="22"/>
      <c r="JZ64" s="22"/>
      <c r="KA64" s="22"/>
      <c r="KB64" s="22"/>
      <c r="KC64" s="22"/>
      <c r="KD64" s="22"/>
      <c r="KE64" s="22"/>
      <c r="KF64" s="22"/>
      <c r="KG64" s="22"/>
      <c r="KH64" s="22"/>
      <c r="KI64" s="22"/>
      <c r="KJ64" s="22"/>
      <c r="KK64" s="22"/>
      <c r="KL64" s="22"/>
      <c r="KM64" s="22"/>
      <c r="KN64" s="22"/>
      <c r="KO64" s="22"/>
      <c r="KP64" s="22"/>
      <c r="KQ64" s="22"/>
      <c r="KR64" s="22"/>
      <c r="KS64" s="22"/>
      <c r="KT64" s="22"/>
      <c r="KU64" s="22"/>
      <c r="KV64" s="22"/>
      <c r="KW64" s="22"/>
      <c r="KX64" s="22"/>
      <c r="KY64" s="22"/>
      <c r="KZ64" s="22"/>
      <c r="LA64" s="22"/>
      <c r="LB64" s="22"/>
      <c r="LC64" s="22"/>
      <c r="LD64" s="22"/>
      <c r="LE64" s="22"/>
      <c r="LF64" s="22"/>
      <c r="LG64" s="22"/>
      <c r="LH64" s="22"/>
      <c r="LI64" s="22"/>
      <c r="LJ64" s="22"/>
      <c r="LK64" s="22"/>
      <c r="LL64" s="22"/>
      <c r="LM64" s="22"/>
      <c r="LN64" s="22"/>
      <c r="LO64" s="22"/>
      <c r="LP64" s="22"/>
      <c r="LQ64" s="22"/>
      <c r="LR64" s="22"/>
      <c r="LS64" s="22"/>
      <c r="LT64" s="22"/>
      <c r="LU64" s="22"/>
      <c r="LV64" s="22"/>
      <c r="LW64" s="22"/>
      <c r="LX64" s="22"/>
      <c r="LY64" s="22"/>
      <c r="LZ64" s="22"/>
      <c r="MA64" s="22"/>
      <c r="MB64" s="22"/>
      <c r="MC64" s="22"/>
      <c r="MD64" s="22"/>
      <c r="ME64" s="22"/>
      <c r="MF64" s="22"/>
      <c r="MG64" s="22"/>
      <c r="MH64" s="22"/>
      <c r="MI64" s="22"/>
      <c r="MJ64" s="22"/>
      <c r="MK64" s="22"/>
      <c r="ML64" s="22"/>
      <c r="MM64" s="22"/>
      <c r="MN64" s="22"/>
      <c r="MO64" s="22"/>
      <c r="MP64" s="22"/>
      <c r="MQ64" s="22"/>
      <c r="MR64" s="22"/>
      <c r="MS64" s="22"/>
      <c r="MT64" s="22"/>
      <c r="MU64" s="22"/>
      <c r="MV64" s="22"/>
      <c r="MW64" s="22"/>
      <c r="MX64" s="22"/>
      <c r="MY64" s="22"/>
      <c r="MZ64" s="22"/>
      <c r="NA64" s="22"/>
      <c r="NB64" s="22"/>
      <c r="NC64" s="22"/>
      <c r="ND64" s="22"/>
      <c r="NE64" s="22"/>
      <c r="NF64" s="22"/>
      <c r="NG64" s="22"/>
      <c r="NH64" s="22"/>
      <c r="NI64" s="22"/>
      <c r="NJ64" s="22"/>
      <c r="NK64" s="22"/>
      <c r="NL64" s="22"/>
      <c r="NM64" s="22"/>
      <c r="NN64" s="22"/>
      <c r="NO64" s="22"/>
      <c r="NP64" s="22"/>
      <c r="NQ64" s="22"/>
      <c r="NR64" s="22"/>
      <c r="NS64" s="22"/>
      <c r="NT64" s="22"/>
      <c r="NU64" s="22"/>
      <c r="NV64" s="22"/>
      <c r="NW64" s="22"/>
      <c r="NX64" s="22"/>
      <c r="NY64" s="22"/>
      <c r="NZ64" s="22"/>
      <c r="OA64" s="22"/>
      <c r="OB64" s="22"/>
      <c r="OC64" s="22"/>
      <c r="OD64" s="22"/>
      <c r="OE64" s="22"/>
      <c r="OF64" s="22"/>
      <c r="OG64" s="22"/>
      <c r="OH64" s="22"/>
      <c r="OI64" s="22"/>
      <c r="OJ64" s="22"/>
      <c r="OK64" s="22"/>
      <c r="OL64" s="22"/>
      <c r="OM64" s="22"/>
      <c r="ON64" s="22"/>
      <c r="OO64" s="22"/>
      <c r="OP64" s="22"/>
      <c r="OQ64" s="22"/>
      <c r="OR64" s="22"/>
      <c r="OS64" s="22"/>
      <c r="OT64" s="22"/>
      <c r="OU64" s="22"/>
      <c r="OV64" s="22"/>
      <c r="OW64" s="22"/>
      <c r="OX64" s="22"/>
      <c r="OY64" s="22"/>
      <c r="OZ64" s="22"/>
      <c r="PA64" s="22"/>
      <c r="PB64" s="22"/>
      <c r="PC64" s="22"/>
      <c r="PD64" s="22"/>
      <c r="PE64" s="22"/>
      <c r="PF64" s="22"/>
      <c r="PG64" s="22"/>
      <c r="PH64" s="22"/>
      <c r="PI64" s="22"/>
      <c r="PJ64" s="22"/>
      <c r="PK64" s="22"/>
      <c r="PL64" s="22"/>
      <c r="PM64" s="22"/>
      <c r="PN64" s="22"/>
      <c r="PO64" s="22"/>
      <c r="PP64" s="22"/>
      <c r="PQ64" s="22"/>
      <c r="PR64" s="22"/>
      <c r="PS64" s="22"/>
      <c r="PT64" s="22"/>
      <c r="PU64" s="22"/>
      <c r="PV64" s="22"/>
      <c r="PW64" s="22"/>
      <c r="PX64" s="22"/>
      <c r="PY64" s="22"/>
      <c r="PZ64" s="22"/>
      <c r="QA64" s="22"/>
      <c r="QB64" s="22"/>
      <c r="QC64" s="22"/>
      <c r="QD64" s="22"/>
      <c r="QE64" s="22"/>
      <c r="QF64" s="22"/>
      <c r="QG64" s="22"/>
      <c r="QH64" s="22"/>
      <c r="QI64" s="22"/>
      <c r="QJ64" s="22"/>
      <c r="QK64" s="22"/>
      <c r="QL64" s="22"/>
      <c r="QM64" s="22"/>
      <c r="QN64" s="22"/>
      <c r="QO64" s="22"/>
      <c r="QP64" s="22"/>
      <c r="QQ64" s="22"/>
      <c r="QR64" s="22"/>
      <c r="QS64" s="22"/>
      <c r="QT64" s="22"/>
      <c r="QU64" s="22"/>
      <c r="QV64" s="22"/>
      <c r="QW64" s="22"/>
      <c r="QX64" s="22"/>
      <c r="QY64" s="22"/>
      <c r="QZ64" s="22"/>
      <c r="RA64" s="22"/>
      <c r="RB64" s="22"/>
      <c r="RC64" s="22"/>
      <c r="RD64" s="22"/>
      <c r="RE64" s="22"/>
      <c r="RF64" s="22"/>
      <c r="RG64" s="22"/>
      <c r="RH64" s="22"/>
      <c r="RI64" s="22"/>
      <c r="RJ64" s="22"/>
      <c r="RK64" s="22"/>
      <c r="RL64" s="22"/>
      <c r="RM64" s="22"/>
      <c r="RN64" s="22"/>
      <c r="RO64" s="22"/>
      <c r="RP64" s="22"/>
      <c r="RQ64" s="22"/>
      <c r="RR64" s="22"/>
      <c r="RS64" s="22"/>
      <c r="RT64" s="22"/>
      <c r="RU64" s="22"/>
      <c r="RV64" s="22"/>
      <c r="RW64" s="22"/>
      <c r="RX64" s="22"/>
      <c r="RY64" s="22"/>
      <c r="RZ64" s="22"/>
      <c r="SA64" s="22"/>
      <c r="SB64" s="22"/>
      <c r="SC64" s="22"/>
      <c r="SD64" s="22"/>
      <c r="SE64" s="22"/>
      <c r="SF64" s="22"/>
      <c r="SG64" s="22"/>
      <c r="SH64" s="22"/>
      <c r="SI64" s="22"/>
      <c r="SJ64" s="22"/>
      <c r="SK64" s="22"/>
      <c r="SL64" s="22"/>
      <c r="SM64" s="22"/>
      <c r="SN64" s="22"/>
      <c r="SO64" s="22"/>
      <c r="SP64" s="22"/>
      <c r="SQ64" s="22"/>
      <c r="SR64" s="22"/>
      <c r="SS64" s="22"/>
      <c r="ST64" s="22"/>
      <c r="SU64" s="22"/>
      <c r="SV64" s="22"/>
      <c r="SW64" s="22"/>
      <c r="SX64" s="22"/>
      <c r="SY64" s="22"/>
      <c r="SZ64" s="22"/>
      <c r="TA64" s="22"/>
      <c r="TB64" s="22"/>
      <c r="TC64" s="22"/>
      <c r="TD64" s="22"/>
      <c r="TE64" s="22"/>
      <c r="TF64" s="22"/>
      <c r="TG64" s="22"/>
      <c r="TH64" s="22"/>
      <c r="TI64" s="22"/>
      <c r="TJ64" s="22"/>
      <c r="TK64" s="22"/>
      <c r="TL64" s="22"/>
      <c r="TM64" s="22"/>
      <c r="TN64" s="22"/>
      <c r="TO64" s="22"/>
      <c r="TP64" s="22"/>
      <c r="TQ64" s="22"/>
      <c r="TR64" s="22"/>
      <c r="TS64" s="22"/>
      <c r="TT64" s="22"/>
      <c r="TU64" s="22"/>
      <c r="TV64" s="22"/>
      <c r="TW64" s="22"/>
      <c r="TX64" s="22"/>
      <c r="TY64" s="22"/>
      <c r="TZ64" s="22"/>
      <c r="UA64" s="22"/>
      <c r="UB64" s="22"/>
      <c r="UC64" s="22"/>
      <c r="UD64" s="22"/>
      <c r="UE64" s="22"/>
      <c r="UF64" s="22"/>
      <c r="UG64" s="22"/>
      <c r="UH64" s="22"/>
      <c r="UI64" s="22"/>
      <c r="UJ64" s="22"/>
      <c r="UK64" s="22"/>
      <c r="UL64" s="22"/>
      <c r="UM64" s="22"/>
      <c r="UN64" s="22"/>
      <c r="UO64" s="22"/>
      <c r="UP64" s="22"/>
      <c r="UQ64" s="22"/>
      <c r="UR64" s="22"/>
      <c r="US64" s="22"/>
      <c r="UT64" s="22"/>
      <c r="UU64" s="22"/>
      <c r="UV64" s="22"/>
      <c r="UW64" s="22"/>
      <c r="UX64" s="22"/>
      <c r="UY64" s="22"/>
      <c r="UZ64" s="22"/>
      <c r="VA64" s="22"/>
      <c r="VB64" s="22"/>
      <c r="VC64" s="22"/>
      <c r="VD64" s="22"/>
      <c r="VE64" s="22"/>
      <c r="VF64" s="22"/>
      <c r="VG64" s="22"/>
      <c r="VH64" s="22"/>
      <c r="VI64" s="22"/>
      <c r="VJ64" s="22"/>
      <c r="VK64" s="22"/>
      <c r="VL64" s="22"/>
      <c r="VM64" s="22"/>
      <c r="VN64" s="22"/>
      <c r="VO64" s="22"/>
      <c r="VP64" s="22"/>
      <c r="VQ64" s="22"/>
      <c r="VR64" s="22"/>
      <c r="VS64" s="22"/>
      <c r="VT64" s="22"/>
      <c r="VU64" s="22"/>
      <c r="VV64" s="22"/>
      <c r="VW64" s="22"/>
      <c r="VX64" s="22"/>
      <c r="VY64" s="22"/>
      <c r="VZ64" s="22"/>
      <c r="WA64" s="22"/>
      <c r="WB64" s="22"/>
      <c r="WC64" s="22"/>
      <c r="WD64" s="22"/>
      <c r="WE64" s="22"/>
      <c r="WF64" s="22"/>
      <c r="WG64" s="22"/>
      <c r="WH64" s="22"/>
      <c r="WI64" s="22"/>
      <c r="WJ64" s="22"/>
      <c r="WK64" s="22"/>
      <c r="WL64" s="22"/>
      <c r="WM64" s="22"/>
      <c r="WN64" s="22"/>
      <c r="WO64" s="22"/>
      <c r="WP64" s="22"/>
      <c r="WQ64" s="22"/>
      <c r="WR64" s="22"/>
      <c r="WS64" s="22"/>
      <c r="WT64" s="22"/>
      <c r="WU64" s="22"/>
      <c r="WV64" s="22"/>
      <c r="WW64" s="22"/>
      <c r="WX64" s="22"/>
      <c r="WY64" s="22"/>
      <c r="WZ64" s="22"/>
      <c r="XA64" s="22"/>
      <c r="XB64" s="22"/>
      <c r="XC64" s="22"/>
      <c r="XD64" s="22"/>
      <c r="XE64" s="22"/>
      <c r="XF64" s="22"/>
      <c r="XG64" s="22"/>
      <c r="XH64" s="22"/>
      <c r="XI64" s="22"/>
      <c r="XJ64" s="22"/>
      <c r="XK64" s="22"/>
      <c r="XL64" s="22"/>
      <c r="XM64" s="22"/>
      <c r="XN64" s="22"/>
      <c r="XO64" s="22"/>
      <c r="XP64" s="22"/>
      <c r="XQ64" s="22"/>
      <c r="XR64" s="22"/>
      <c r="XS64" s="22"/>
      <c r="XT64" s="22"/>
      <c r="XU64" s="22"/>
      <c r="XV64" s="22"/>
      <c r="XW64" s="22"/>
      <c r="XX64" s="22"/>
      <c r="XY64" s="22"/>
      <c r="XZ64" s="22"/>
      <c r="YA64" s="22"/>
      <c r="YB64" s="22"/>
      <c r="YC64" s="22"/>
      <c r="YD64" s="22"/>
      <c r="YE64" s="22"/>
      <c r="YF64" s="22"/>
      <c r="YG64" s="22"/>
      <c r="YH64" s="22"/>
      <c r="YI64" s="22"/>
      <c r="YJ64" s="22"/>
      <c r="YK64" s="22"/>
      <c r="YL64" s="22"/>
      <c r="YM64" s="22"/>
      <c r="YN64" s="22"/>
      <c r="YO64" s="22"/>
      <c r="YP64" s="22"/>
      <c r="YQ64" s="22"/>
      <c r="YR64" s="22"/>
      <c r="YS64" s="22"/>
      <c r="YT64" s="22"/>
      <c r="YU64" s="22"/>
      <c r="YV64" s="22"/>
      <c r="YW64" s="22"/>
      <c r="YX64" s="22"/>
      <c r="YY64" s="22"/>
      <c r="YZ64" s="22"/>
      <c r="ZA64" s="22"/>
      <c r="ZB64" s="22"/>
      <c r="ZC64" s="22"/>
      <c r="ZD64" s="22"/>
      <c r="ZE64" s="22"/>
      <c r="ZF64" s="22"/>
      <c r="ZG64" s="22"/>
      <c r="ZH64" s="22"/>
      <c r="ZI64" s="22"/>
      <c r="ZJ64" s="22"/>
      <c r="ZK64" s="22"/>
      <c r="ZL64" s="22"/>
      <c r="ZM64" s="22"/>
      <c r="ZN64" s="22"/>
      <c r="ZO64" s="22"/>
      <c r="ZP64" s="22"/>
      <c r="ZQ64" s="22"/>
      <c r="ZR64" s="22"/>
      <c r="ZS64" s="22"/>
      <c r="ZT64" s="22"/>
      <c r="ZU64" s="22"/>
      <c r="ZV64" s="22"/>
      <c r="ZW64" s="22"/>
      <c r="ZX64" s="22"/>
      <c r="ZY64" s="22"/>
      <c r="ZZ64" s="22"/>
      <c r="AAA64" s="22"/>
      <c r="AAB64" s="22"/>
      <c r="AAC64" s="22"/>
      <c r="AAD64" s="22"/>
      <c r="AAE64" s="22"/>
      <c r="AAF64" s="22"/>
      <c r="AAG64" s="22"/>
      <c r="AAH64" s="22"/>
      <c r="AAI64" s="22"/>
      <c r="AAJ64" s="22"/>
      <c r="AAK64" s="22"/>
      <c r="AAL64" s="22"/>
      <c r="AAM64" s="22"/>
      <c r="AAN64" s="22"/>
      <c r="AAO64" s="22"/>
      <c r="AAP64" s="22"/>
      <c r="AAQ64" s="22"/>
      <c r="AAR64" s="22"/>
      <c r="AAS64" s="22"/>
      <c r="AAT64" s="22"/>
      <c r="AAU64" s="22"/>
      <c r="AAV64" s="22"/>
      <c r="AAW64" s="22"/>
      <c r="AAX64" s="22"/>
      <c r="AAY64" s="22"/>
      <c r="AAZ64" s="22"/>
      <c r="ABA64" s="22"/>
      <c r="ABB64" s="22"/>
      <c r="ABC64" s="22"/>
    </row>
    <row r="65" spans="1:731" s="61" customFormat="1" ht="15" customHeight="1" thickBot="1" x14ac:dyDescent="0.35">
      <c r="A65" s="341"/>
      <c r="B65" s="76"/>
      <c r="C65" s="77"/>
      <c r="D65" s="54"/>
      <c r="E65" s="197" t="s">
        <v>103</v>
      </c>
      <c r="F65" s="198">
        <f t="shared" ref="F65:Q65" si="73">F64</f>
        <v>212.78801384892748</v>
      </c>
      <c r="G65" s="199">
        <f t="shared" si="73"/>
        <v>217.65835855446778</v>
      </c>
      <c r="H65" s="182">
        <f t="shared" si="73"/>
        <v>-148.95474437503464</v>
      </c>
      <c r="I65" s="183">
        <f t="shared" si="73"/>
        <v>-0.36379337183006699</v>
      </c>
      <c r="J65" s="184">
        <f t="shared" si="73"/>
        <v>63523.86</v>
      </c>
      <c r="K65" s="184">
        <f t="shared" si="73"/>
        <v>64977.809823725198</v>
      </c>
      <c r="L65" s="40">
        <f t="shared" si="73"/>
        <v>-1453.9498237251973</v>
      </c>
      <c r="M65" s="183">
        <f t="shared" si="73"/>
        <v>-0.3637933718300671</v>
      </c>
      <c r="N65" s="54">
        <f t="shared" si="73"/>
        <v>66099.804999999993</v>
      </c>
      <c r="O65" s="54">
        <f t="shared" si="73"/>
        <v>67772.224918105203</v>
      </c>
      <c r="P65" s="40">
        <f t="shared" si="73"/>
        <v>-1672.4199181052099</v>
      </c>
      <c r="Q65" s="169">
        <f t="shared" si="73"/>
        <v>-2.4677069701136912E-2</v>
      </c>
      <c r="R65" s="54"/>
      <c r="S65" s="54"/>
      <c r="T65" s="40"/>
      <c r="U65" s="169"/>
      <c r="V65" s="54">
        <f t="shared" ref="V65:AC65" si="74">V64</f>
        <v>76837.343309999997</v>
      </c>
      <c r="W65" s="54">
        <f t="shared" si="74"/>
        <v>72176.699257678294</v>
      </c>
      <c r="X65" s="40">
        <f t="shared" si="74"/>
        <v>4660.6440523217025</v>
      </c>
      <c r="Y65" s="169">
        <f t="shared" si="74"/>
        <v>6.4572695901245369E-2</v>
      </c>
      <c r="Z65" s="196">
        <f t="shared" si="74"/>
        <v>-10737.53831</v>
      </c>
      <c r="AA65" s="196">
        <f t="shared" si="74"/>
        <v>-4404.4743395731703</v>
      </c>
      <c r="AB65" s="40">
        <f t="shared" si="74"/>
        <v>-6333.0639704268297</v>
      </c>
      <c r="AC65" s="170">
        <f t="shared" si="74"/>
        <v>-1.4378705566577454</v>
      </c>
      <c r="AD65" s="185"/>
      <c r="AE65" s="185"/>
      <c r="AF65" s="40"/>
      <c r="AG65" s="171"/>
      <c r="AH65" s="185">
        <f>AH64</f>
        <v>3981.837</v>
      </c>
      <c r="AI65" s="174">
        <f>AI64</f>
        <v>3981.837</v>
      </c>
      <c r="AJ65" s="40"/>
      <c r="AK65" s="171"/>
      <c r="AL65" s="200">
        <f>AL64</f>
        <v>-6755.7013099999995</v>
      </c>
      <c r="AM65" s="200">
        <f>AM64</f>
        <v>-422.63733957317498</v>
      </c>
      <c r="AN65" s="40">
        <f>AN64</f>
        <v>-6333.0639704268242</v>
      </c>
      <c r="AO65" s="201">
        <f>AO64</f>
        <v>-14.9846295569214</v>
      </c>
      <c r="AP65" s="342"/>
      <c r="AQ65" s="55"/>
      <c r="AR65" s="289"/>
      <c r="AS65" s="289"/>
      <c r="AT65" s="289"/>
      <c r="AU65" s="289"/>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F65" s="55"/>
      <c r="CG65" s="55"/>
      <c r="CH65" s="55"/>
      <c r="CI65" s="55"/>
      <c r="CJ65" s="55"/>
      <c r="CK65" s="55"/>
      <c r="CL65" s="55"/>
      <c r="CM65" s="55"/>
      <c r="CN65" s="55"/>
      <c r="CO65" s="55"/>
      <c r="CP65" s="55"/>
      <c r="CQ65" s="55"/>
      <c r="CR65" s="55"/>
      <c r="CS65" s="55"/>
      <c r="CT65" s="55"/>
      <c r="CU65" s="55"/>
      <c r="CV65" s="55"/>
      <c r="CW65" s="55"/>
      <c r="CX65" s="55"/>
      <c r="CY65" s="55"/>
      <c r="CZ65" s="55"/>
      <c r="DA65" s="55"/>
      <c r="DB65" s="55"/>
      <c r="DC65" s="55"/>
      <c r="DD65" s="55"/>
      <c r="DE65" s="55"/>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c r="FE65" s="55"/>
      <c r="FF65" s="55"/>
      <c r="FG65" s="55"/>
      <c r="FH65" s="55"/>
      <c r="FI65" s="55"/>
      <c r="FJ65" s="55"/>
      <c r="FK65" s="55"/>
      <c r="FL65" s="55"/>
      <c r="FM65" s="55"/>
      <c r="FN65" s="55"/>
      <c r="FO65" s="55"/>
      <c r="FP65" s="55"/>
      <c r="FQ65" s="55"/>
      <c r="FR65" s="55"/>
      <c r="FS65" s="55"/>
      <c r="FT65" s="55"/>
      <c r="FU65" s="55"/>
      <c r="FV65" s="55"/>
      <c r="FW65" s="55"/>
      <c r="FX65" s="55"/>
      <c r="FY65" s="55"/>
      <c r="FZ65" s="55"/>
      <c r="GA65" s="55"/>
      <c r="GB65" s="55"/>
      <c r="GC65" s="55"/>
      <c r="GD65" s="55"/>
      <c r="GE65" s="55"/>
      <c r="GF65" s="55"/>
      <c r="GG65" s="55"/>
      <c r="GH65" s="55"/>
      <c r="GI65" s="55"/>
      <c r="GJ65" s="55"/>
      <c r="GK65" s="55"/>
      <c r="GL65" s="55"/>
      <c r="GM65" s="55"/>
      <c r="GN65" s="55"/>
      <c r="GO65" s="55"/>
      <c r="GP65" s="55"/>
      <c r="GQ65" s="55"/>
      <c r="GR65" s="55"/>
      <c r="GS65" s="55"/>
      <c r="GT65" s="55"/>
      <c r="GU65" s="55"/>
      <c r="GV65" s="55"/>
      <c r="GW65" s="55"/>
      <c r="GX65" s="55"/>
      <c r="GY65" s="55"/>
      <c r="GZ65" s="55"/>
      <c r="HA65" s="55"/>
      <c r="HB65" s="55"/>
      <c r="HC65" s="55"/>
      <c r="HD65" s="55"/>
      <c r="HE65" s="55"/>
      <c r="HF65" s="55"/>
      <c r="HG65" s="55"/>
      <c r="HH65" s="55"/>
      <c r="HI65" s="55"/>
      <c r="HJ65" s="55"/>
      <c r="HK65" s="55"/>
      <c r="HL65" s="55"/>
      <c r="HM65" s="55"/>
      <c r="HN65" s="55"/>
      <c r="HO65" s="55"/>
      <c r="HP65" s="55"/>
      <c r="HQ65" s="55"/>
      <c r="HR65" s="55"/>
      <c r="HS65" s="55"/>
      <c r="HT65" s="55"/>
      <c r="HU65" s="55"/>
      <c r="HV65" s="55"/>
      <c r="HW65" s="55"/>
      <c r="HX65" s="55"/>
      <c r="HY65" s="55"/>
      <c r="HZ65" s="55"/>
      <c r="IA65" s="55"/>
      <c r="IB65" s="55"/>
      <c r="IC65" s="55"/>
      <c r="ID65" s="55"/>
      <c r="IE65" s="55"/>
      <c r="IF65" s="55"/>
      <c r="IG65" s="55"/>
      <c r="IH65" s="55"/>
      <c r="II65" s="55"/>
      <c r="IJ65" s="55"/>
      <c r="IK65" s="55"/>
      <c r="IL65" s="55"/>
      <c r="IM65" s="55"/>
      <c r="IN65" s="55"/>
      <c r="IO65" s="55"/>
      <c r="IP65" s="55"/>
      <c r="IQ65" s="55"/>
      <c r="IR65" s="55"/>
      <c r="IS65" s="55"/>
      <c r="IT65" s="55"/>
      <c r="IU65" s="55"/>
      <c r="IV65" s="55"/>
      <c r="IW65" s="55"/>
      <c r="IX65" s="55"/>
      <c r="IY65" s="55"/>
      <c r="IZ65" s="55"/>
      <c r="JA65" s="55"/>
      <c r="JB65" s="55"/>
      <c r="JC65" s="55"/>
      <c r="JD65" s="55"/>
      <c r="JE65" s="55"/>
      <c r="JJ65" s="55"/>
      <c r="JK65" s="55"/>
      <c r="JL65" s="55"/>
      <c r="JM65" s="55"/>
      <c r="JN65" s="55"/>
      <c r="JO65" s="55"/>
      <c r="JP65" s="55"/>
      <c r="JQ65" s="55"/>
      <c r="JR65" s="55"/>
      <c r="JS65" s="55"/>
      <c r="JT65" s="55"/>
      <c r="JU65" s="55"/>
      <c r="JV65" s="55"/>
      <c r="JW65" s="55"/>
      <c r="JX65" s="55"/>
      <c r="JY65" s="55"/>
      <c r="JZ65" s="55"/>
      <c r="KA65" s="55"/>
      <c r="KB65" s="55"/>
      <c r="KC65" s="55"/>
      <c r="KD65" s="55"/>
      <c r="KE65" s="55"/>
      <c r="KF65" s="55"/>
      <c r="KG65" s="55"/>
      <c r="KH65" s="55"/>
      <c r="KI65" s="55"/>
      <c r="KJ65" s="55"/>
      <c r="KK65" s="55"/>
      <c r="KL65" s="55"/>
      <c r="KM65" s="55"/>
      <c r="KN65" s="55"/>
      <c r="KO65" s="55"/>
      <c r="KP65" s="55"/>
      <c r="KQ65" s="55"/>
      <c r="KR65" s="55"/>
      <c r="KS65" s="55"/>
      <c r="KT65" s="55"/>
      <c r="KU65" s="55"/>
      <c r="KV65" s="55"/>
      <c r="KW65" s="55"/>
      <c r="KX65" s="55"/>
      <c r="KY65" s="55"/>
      <c r="KZ65" s="55"/>
      <c r="LA65" s="55"/>
      <c r="LB65" s="55"/>
      <c r="LC65" s="55"/>
      <c r="LD65" s="55"/>
      <c r="LE65" s="55"/>
      <c r="LF65" s="55"/>
      <c r="LG65" s="55"/>
      <c r="LH65" s="55"/>
      <c r="LI65" s="55"/>
      <c r="LJ65" s="55"/>
      <c r="LK65" s="55"/>
      <c r="LL65" s="55"/>
      <c r="LM65" s="55"/>
      <c r="LN65" s="55"/>
      <c r="LO65" s="55"/>
      <c r="LP65" s="55"/>
      <c r="LQ65" s="55"/>
      <c r="LR65" s="55"/>
      <c r="LS65" s="55"/>
      <c r="LT65" s="55"/>
      <c r="LU65" s="55"/>
      <c r="LV65" s="55"/>
      <c r="LW65" s="55"/>
      <c r="LX65" s="55"/>
      <c r="LY65" s="55"/>
      <c r="LZ65" s="55"/>
      <c r="MA65" s="55"/>
      <c r="MB65" s="55"/>
      <c r="MC65" s="55"/>
      <c r="MD65" s="55"/>
      <c r="ME65" s="55"/>
      <c r="MF65" s="55"/>
      <c r="MG65" s="55"/>
      <c r="MH65" s="55"/>
      <c r="MI65" s="55"/>
      <c r="MJ65" s="55"/>
      <c r="MK65" s="55"/>
      <c r="ML65" s="55"/>
      <c r="MM65" s="55"/>
      <c r="MN65" s="55"/>
      <c r="MO65" s="55"/>
      <c r="MP65" s="55"/>
      <c r="MQ65" s="55"/>
      <c r="MR65" s="55"/>
      <c r="MS65" s="55"/>
      <c r="MT65" s="55"/>
      <c r="MU65" s="55"/>
      <c r="MV65" s="55"/>
      <c r="MW65" s="55"/>
      <c r="MX65" s="55"/>
      <c r="MY65" s="55"/>
      <c r="MZ65" s="55"/>
      <c r="NA65" s="55"/>
      <c r="NB65" s="55"/>
      <c r="NC65" s="55"/>
      <c r="ND65" s="55"/>
      <c r="NE65" s="55"/>
      <c r="NF65" s="55"/>
      <c r="NG65" s="55"/>
      <c r="NH65" s="55"/>
      <c r="NI65" s="55"/>
      <c r="NJ65" s="55"/>
      <c r="NK65" s="55"/>
      <c r="NL65" s="55"/>
      <c r="NM65" s="55"/>
      <c r="NN65" s="55"/>
      <c r="NO65" s="55"/>
      <c r="NP65" s="55"/>
      <c r="NQ65" s="55"/>
      <c r="NR65" s="55"/>
      <c r="NS65" s="55"/>
      <c r="NT65" s="55"/>
      <c r="NU65" s="55"/>
      <c r="NV65" s="55"/>
      <c r="NW65" s="55"/>
      <c r="NX65" s="55"/>
      <c r="NY65" s="55"/>
      <c r="NZ65" s="55"/>
      <c r="OA65" s="55"/>
      <c r="OB65" s="55"/>
      <c r="OC65" s="55"/>
      <c r="OD65" s="55"/>
      <c r="OE65" s="55"/>
      <c r="OF65" s="55"/>
      <c r="OG65" s="55"/>
      <c r="OH65" s="55"/>
      <c r="OI65" s="55"/>
      <c r="OJ65" s="55"/>
      <c r="OK65" s="55"/>
      <c r="OL65" s="55"/>
      <c r="OM65" s="55"/>
      <c r="ON65" s="55"/>
      <c r="OO65" s="55"/>
      <c r="OP65" s="55"/>
      <c r="OQ65" s="55"/>
      <c r="OR65" s="55"/>
      <c r="OS65" s="55"/>
      <c r="OT65" s="55"/>
      <c r="OU65" s="55"/>
      <c r="OV65" s="55"/>
      <c r="OW65" s="55"/>
      <c r="OX65" s="55"/>
      <c r="OY65" s="55"/>
      <c r="OZ65" s="55"/>
      <c r="PA65" s="55"/>
      <c r="PB65" s="55"/>
      <c r="PC65" s="55"/>
      <c r="PD65" s="55"/>
      <c r="PE65" s="55"/>
      <c r="PF65" s="55"/>
      <c r="PG65" s="55"/>
      <c r="PH65" s="55"/>
      <c r="PI65" s="55"/>
      <c r="PJ65" s="55"/>
      <c r="PK65" s="55"/>
      <c r="PL65" s="55"/>
      <c r="PM65" s="55"/>
      <c r="PN65" s="55"/>
      <c r="PO65" s="55"/>
      <c r="PP65" s="55"/>
      <c r="PQ65" s="55"/>
      <c r="PR65" s="55"/>
      <c r="PS65" s="55"/>
      <c r="PT65" s="55"/>
      <c r="PU65" s="55"/>
      <c r="PV65" s="55"/>
      <c r="PW65" s="55"/>
      <c r="PX65" s="55"/>
      <c r="PY65" s="55"/>
      <c r="PZ65" s="55"/>
      <c r="QA65" s="55"/>
      <c r="QB65" s="55"/>
      <c r="QC65" s="55"/>
      <c r="QD65" s="55"/>
      <c r="QE65" s="55"/>
      <c r="QF65" s="55"/>
      <c r="QG65" s="55"/>
      <c r="QH65" s="55"/>
      <c r="QI65" s="55"/>
      <c r="QJ65" s="55"/>
      <c r="QK65" s="55"/>
      <c r="QL65" s="55"/>
      <c r="QM65" s="55"/>
      <c r="QN65" s="55"/>
      <c r="QO65" s="55"/>
      <c r="QP65" s="55"/>
      <c r="QQ65" s="55"/>
      <c r="QR65" s="55"/>
      <c r="QS65" s="55"/>
      <c r="QT65" s="55"/>
      <c r="QU65" s="55"/>
      <c r="QV65" s="55"/>
      <c r="QW65" s="55"/>
      <c r="QX65" s="55"/>
      <c r="QY65" s="55"/>
      <c r="QZ65" s="55"/>
      <c r="RA65" s="55"/>
      <c r="RB65" s="55"/>
      <c r="RC65" s="55"/>
      <c r="RD65" s="55"/>
      <c r="RE65" s="55"/>
      <c r="RF65" s="55"/>
      <c r="RG65" s="55"/>
      <c r="RH65" s="55"/>
      <c r="RI65" s="55"/>
      <c r="RJ65" s="55"/>
      <c r="RK65" s="55"/>
      <c r="RL65" s="55"/>
      <c r="RM65" s="55"/>
      <c r="RN65" s="55"/>
      <c r="RO65" s="55"/>
      <c r="RP65" s="55"/>
      <c r="RQ65" s="55"/>
      <c r="RR65" s="55"/>
      <c r="RS65" s="55"/>
      <c r="RT65" s="55"/>
      <c r="RU65" s="55"/>
      <c r="RV65" s="55"/>
      <c r="RW65" s="55"/>
      <c r="RX65" s="55"/>
      <c r="RY65" s="55"/>
      <c r="RZ65" s="55"/>
      <c r="SA65" s="55"/>
      <c r="SB65" s="55"/>
      <c r="SC65" s="55"/>
      <c r="SD65" s="55"/>
      <c r="SE65" s="55"/>
      <c r="SF65" s="55"/>
      <c r="SG65" s="55"/>
      <c r="SH65" s="55"/>
      <c r="SI65" s="55"/>
      <c r="SJ65" s="55"/>
      <c r="SK65" s="55"/>
      <c r="SL65" s="55"/>
      <c r="SM65" s="55"/>
      <c r="SN65" s="55"/>
      <c r="SO65" s="55"/>
      <c r="SP65" s="55"/>
      <c r="SQ65" s="55"/>
      <c r="SR65" s="55"/>
      <c r="SS65" s="55"/>
      <c r="ST65" s="55"/>
      <c r="SU65" s="55"/>
      <c r="SV65" s="55"/>
      <c r="SW65" s="55"/>
      <c r="SX65" s="55"/>
      <c r="SY65" s="55"/>
      <c r="SZ65" s="55"/>
      <c r="TA65" s="55"/>
      <c r="TB65" s="55"/>
      <c r="TC65" s="55"/>
      <c r="TD65" s="55"/>
      <c r="TE65" s="55"/>
      <c r="TF65" s="55"/>
      <c r="TG65" s="55"/>
      <c r="TH65" s="55"/>
      <c r="TI65" s="55"/>
      <c r="TJ65" s="55"/>
      <c r="TK65" s="55"/>
      <c r="TL65" s="55"/>
      <c r="TM65" s="55"/>
      <c r="TN65" s="55"/>
      <c r="TO65" s="55"/>
      <c r="TP65" s="55"/>
      <c r="TQ65" s="55"/>
      <c r="TR65" s="55"/>
      <c r="TS65" s="55"/>
      <c r="TT65" s="55"/>
      <c r="TU65" s="55"/>
      <c r="TV65" s="55"/>
      <c r="TW65" s="55"/>
      <c r="TX65" s="55"/>
      <c r="TY65" s="55"/>
      <c r="TZ65" s="55"/>
      <c r="UA65" s="55"/>
      <c r="UB65" s="55"/>
      <c r="UC65" s="55"/>
      <c r="UD65" s="55"/>
      <c r="UE65" s="55"/>
      <c r="UF65" s="55"/>
      <c r="UG65" s="55"/>
      <c r="UH65" s="55"/>
      <c r="UI65" s="55"/>
      <c r="UJ65" s="55"/>
      <c r="UK65" s="55"/>
      <c r="UL65" s="55"/>
      <c r="UM65" s="55"/>
      <c r="UN65" s="55"/>
      <c r="UO65" s="55"/>
      <c r="UP65" s="55"/>
      <c r="UQ65" s="55"/>
      <c r="UR65" s="55"/>
      <c r="US65" s="55"/>
      <c r="UT65" s="55"/>
      <c r="UU65" s="55"/>
      <c r="UV65" s="55"/>
      <c r="UW65" s="55"/>
      <c r="UX65" s="55"/>
      <c r="UY65" s="55"/>
      <c r="UZ65" s="55"/>
      <c r="VA65" s="55"/>
      <c r="VB65" s="55"/>
      <c r="VC65" s="55"/>
      <c r="VD65" s="55"/>
      <c r="VE65" s="55"/>
      <c r="VF65" s="55"/>
      <c r="VG65" s="55"/>
      <c r="VH65" s="55"/>
      <c r="VI65" s="55"/>
      <c r="VJ65" s="55"/>
      <c r="VK65" s="55"/>
      <c r="VL65" s="55"/>
      <c r="VM65" s="55"/>
      <c r="VN65" s="55"/>
      <c r="VO65" s="55"/>
      <c r="VP65" s="55"/>
      <c r="VQ65" s="55"/>
      <c r="VR65" s="55"/>
      <c r="VS65" s="55"/>
      <c r="VT65" s="55"/>
      <c r="VU65" s="55"/>
      <c r="VV65" s="55"/>
      <c r="VW65" s="55"/>
      <c r="VX65" s="55"/>
      <c r="VY65" s="55"/>
      <c r="VZ65" s="55"/>
      <c r="WA65" s="55"/>
      <c r="WB65" s="55"/>
      <c r="WC65" s="55"/>
      <c r="WD65" s="55"/>
      <c r="WE65" s="55"/>
      <c r="WF65" s="55"/>
      <c r="WG65" s="55"/>
      <c r="WH65" s="55"/>
      <c r="WI65" s="55"/>
      <c r="WJ65" s="55"/>
      <c r="WK65" s="55"/>
      <c r="WL65" s="55"/>
      <c r="WM65" s="55"/>
      <c r="WN65" s="55"/>
      <c r="WO65" s="55"/>
      <c r="WP65" s="55"/>
      <c r="WQ65" s="55"/>
      <c r="WR65" s="55"/>
      <c r="WS65" s="55"/>
      <c r="WT65" s="55"/>
      <c r="WU65" s="55"/>
      <c r="WV65" s="55"/>
      <c r="WW65" s="55"/>
      <c r="WX65" s="55"/>
      <c r="WY65" s="55"/>
      <c r="WZ65" s="55"/>
      <c r="XA65" s="55"/>
      <c r="XB65" s="55"/>
      <c r="XC65" s="55"/>
      <c r="XD65" s="55"/>
      <c r="XE65" s="55"/>
      <c r="XF65" s="55"/>
      <c r="XG65" s="55"/>
      <c r="XH65" s="55"/>
      <c r="XI65" s="55"/>
      <c r="XJ65" s="55"/>
      <c r="XK65" s="55"/>
      <c r="XL65" s="55"/>
      <c r="XM65" s="55"/>
      <c r="XN65" s="55"/>
      <c r="XO65" s="55"/>
      <c r="XP65" s="55"/>
      <c r="XQ65" s="55"/>
      <c r="XR65" s="55"/>
      <c r="XS65" s="55"/>
      <c r="XT65" s="55"/>
      <c r="XU65" s="55"/>
      <c r="XV65" s="55"/>
      <c r="XW65" s="55"/>
      <c r="XX65" s="55"/>
      <c r="XY65" s="55"/>
      <c r="XZ65" s="55"/>
      <c r="YA65" s="55"/>
      <c r="YB65" s="55"/>
      <c r="YC65" s="55"/>
      <c r="YD65" s="55"/>
      <c r="YE65" s="55"/>
      <c r="YF65" s="55"/>
      <c r="YG65" s="55"/>
      <c r="YH65" s="55"/>
      <c r="YI65" s="55"/>
      <c r="YJ65" s="55"/>
      <c r="YK65" s="55"/>
      <c r="YL65" s="55"/>
      <c r="YM65" s="55"/>
      <c r="YN65" s="55"/>
      <c r="YO65" s="55"/>
      <c r="YP65" s="55"/>
      <c r="YQ65" s="55"/>
      <c r="YR65" s="55"/>
      <c r="YS65" s="55"/>
      <c r="YT65" s="55"/>
      <c r="YU65" s="55"/>
      <c r="YV65" s="55"/>
      <c r="YW65" s="55"/>
      <c r="YX65" s="55"/>
      <c r="YY65" s="55"/>
      <c r="YZ65" s="55"/>
      <c r="ZA65" s="55"/>
      <c r="ZB65" s="55"/>
      <c r="ZC65" s="55"/>
      <c r="ZD65" s="55"/>
      <c r="ZE65" s="55"/>
      <c r="ZF65" s="55"/>
      <c r="ZG65" s="55"/>
      <c r="ZH65" s="55"/>
      <c r="ZI65" s="55"/>
      <c r="ZJ65" s="55"/>
      <c r="ZK65" s="55"/>
      <c r="ZL65" s="55"/>
      <c r="ZM65" s="55"/>
      <c r="ZN65" s="55"/>
      <c r="ZO65" s="55"/>
      <c r="ZP65" s="55"/>
      <c r="ZQ65" s="55"/>
      <c r="ZR65" s="55"/>
      <c r="ZS65" s="55"/>
      <c r="ZT65" s="55"/>
      <c r="ZU65" s="55"/>
      <c r="ZV65" s="55"/>
      <c r="ZW65" s="55"/>
      <c r="ZX65" s="55"/>
      <c r="ZY65" s="55"/>
      <c r="ZZ65" s="55"/>
      <c r="AAA65" s="55"/>
      <c r="AAB65" s="55"/>
      <c r="AAC65" s="55"/>
      <c r="AAD65" s="55"/>
      <c r="AAE65" s="55"/>
      <c r="AAF65" s="55"/>
      <c r="AAG65" s="55"/>
      <c r="AAH65" s="55"/>
      <c r="AAI65" s="55"/>
      <c r="AAJ65" s="55"/>
      <c r="AAK65" s="55"/>
      <c r="AAL65" s="55"/>
      <c r="AAM65" s="55"/>
      <c r="AAN65" s="55"/>
      <c r="AAO65" s="55"/>
      <c r="AAP65" s="55"/>
      <c r="AAQ65" s="55"/>
      <c r="AAR65" s="55"/>
      <c r="AAS65" s="55"/>
      <c r="AAT65" s="55"/>
      <c r="AAU65" s="55"/>
      <c r="AAV65" s="55"/>
      <c r="AAW65" s="55"/>
      <c r="AAX65" s="55"/>
      <c r="AAY65" s="55"/>
      <c r="AAZ65" s="55"/>
      <c r="ABA65" s="55"/>
      <c r="ABB65" s="55"/>
      <c r="ABC65" s="55"/>
    </row>
    <row r="66" spans="1:731" ht="15" customHeight="1" x14ac:dyDescent="0.3">
      <c r="A66" s="402" t="s">
        <v>110</v>
      </c>
      <c r="B66" s="398"/>
      <c r="C66" s="78"/>
      <c r="D66" s="17" t="s">
        <v>13</v>
      </c>
      <c r="E66" s="374" t="s">
        <v>74</v>
      </c>
      <c r="F66" s="11">
        <f>J66/$F$2</f>
        <v>1576.4410947567912</v>
      </c>
      <c r="G66" s="16">
        <f>K66/$F$2</f>
        <v>2505.5352561207274</v>
      </c>
      <c r="H66" s="13">
        <v>-11392.784673430637</v>
      </c>
      <c r="I66" s="49">
        <f t="shared" si="1"/>
        <v>-0.37081663851836394</v>
      </c>
      <c r="J66" s="15">
        <f>'[89]Lubricant Cluster 1 Summary'!$H$5</f>
        <v>470616.84345000004</v>
      </c>
      <c r="K66" s="16">
        <f>'[89]Lubricant Cluster 1 Summary'!$I$5</f>
        <v>747980.43346500013</v>
      </c>
      <c r="L66" s="13">
        <f>J66-K66</f>
        <v>-277363.59001500008</v>
      </c>
      <c r="M66" s="49">
        <f t="shared" si="21"/>
        <v>-0.37081663851836388</v>
      </c>
      <c r="N66" s="15">
        <f>'[89]Lubricant Cluster 1 Summary'!$L$5</f>
        <v>69250.045218000014</v>
      </c>
      <c r="O66" s="16">
        <f>'[89]Lubricant Cluster 1 Summary'!$M$5</f>
        <v>185308.89330083693</v>
      </c>
      <c r="P66" s="13">
        <f t="shared" si="66"/>
        <v>-116058.84808283692</v>
      </c>
      <c r="Q66" s="49">
        <f t="shared" si="2"/>
        <v>-0.62629939672902224</v>
      </c>
      <c r="R66" s="15">
        <f>'[89]Lubricant Cluster 1 Summary'!$R$5</f>
        <v>806.91149400000006</v>
      </c>
      <c r="S66" s="16">
        <f>'[89]Lubricant Cluster 1 Summary'!$S$5</f>
        <v>0</v>
      </c>
      <c r="T66" s="13">
        <f>R66-S66</f>
        <v>806.91149400000006</v>
      </c>
      <c r="U66" s="49">
        <v>-0.38114944209250967</v>
      </c>
      <c r="V66" s="15">
        <f>'[89]Lubricant Cluster 1 Summary'!$V$5</f>
        <v>142471.19366900524</v>
      </c>
      <c r="W66" s="16">
        <f>'[89]Lubricant Cluster 1 Summary'!$W$5</f>
        <v>146407.41170415084</v>
      </c>
      <c r="X66" s="13">
        <v>-11392.784673430637</v>
      </c>
      <c r="Y66" s="49">
        <f t="shared" si="4"/>
        <v>-2.6885374103188298E-2</v>
      </c>
      <c r="Z66" s="15">
        <f>'[89]Lubricant Cluster 1 Summary'!$AD$5</f>
        <v>-11793.314579005249</v>
      </c>
      <c r="AA66" s="16">
        <f>'[89]Lubricant Cluster 1 Summary'!$AE$5</f>
        <v>38901.481596686062</v>
      </c>
      <c r="AB66" s="13">
        <v>-11392.784673430637</v>
      </c>
      <c r="AC66" s="50">
        <f t="shared" si="5"/>
        <v>-1.303158494097302</v>
      </c>
      <c r="AD66" s="186">
        <f>'[89]Lubricant Cluster 1 Summary'!$AJ$5</f>
        <v>0</v>
      </c>
      <c r="AE66" s="187">
        <v>0</v>
      </c>
      <c r="AF66" s="108">
        <f t="shared" si="6"/>
        <v>0</v>
      </c>
      <c r="AG66" s="188">
        <v>0</v>
      </c>
      <c r="AH66" s="213">
        <f>'[89]Lubricant Cluster 1 Summary'!$AN$5</f>
        <v>0</v>
      </c>
      <c r="AI66" s="189">
        <f>'[89]Lubricant Cluster 1 Summary'!$AO$5</f>
        <v>0</v>
      </c>
      <c r="AJ66" s="108">
        <f t="shared" si="8"/>
        <v>0</v>
      </c>
      <c r="AK66" s="50">
        <v>0</v>
      </c>
      <c r="AL66" s="212">
        <f>'[89]Lubricant Cluster 1 Summary'!$AR$5</f>
        <v>-11793.314579005249</v>
      </c>
      <c r="AM66" s="190">
        <f>'[89]Lubricant Cluster 1 Summary'!$AS$5</f>
        <v>38901.481596686062</v>
      </c>
      <c r="AN66" s="13">
        <f t="shared" si="9"/>
        <v>-50694.796175691314</v>
      </c>
      <c r="AO66" s="50">
        <f>IFERROR(IF(AM66&lt;0,-(AL66-AM66)/AM66,(AL66-AM66)/AM66),"")</f>
        <v>-1.303158494097302</v>
      </c>
      <c r="AP66" s="191" t="s">
        <v>150</v>
      </c>
      <c r="AQ66" s="43"/>
      <c r="AR66" s="1">
        <f t="shared" si="11"/>
        <v>-60620.922377999974</v>
      </c>
      <c r="AS66" s="1">
        <f t="shared" si="12"/>
        <v>0</v>
      </c>
      <c r="AT66" s="1">
        <f t="shared" si="13"/>
        <v>0</v>
      </c>
      <c r="AU66" s="1">
        <f t="shared" si="14"/>
        <v>0</v>
      </c>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c r="HV66" s="22"/>
      <c r="HW66" s="22"/>
      <c r="HX66" s="22"/>
      <c r="HY66" s="22"/>
      <c r="HZ66" s="22"/>
      <c r="IA66" s="22"/>
      <c r="IB66" s="22"/>
      <c r="IC66" s="22"/>
      <c r="ID66" s="22"/>
      <c r="IE66" s="22"/>
      <c r="IF66" s="22"/>
      <c r="IG66" s="22"/>
      <c r="IH66" s="22"/>
      <c r="II66" s="22"/>
      <c r="IJ66" s="22"/>
      <c r="IK66" s="22"/>
      <c r="IL66" s="22"/>
      <c r="IM66" s="22"/>
      <c r="IN66" s="22"/>
      <c r="IO66" s="22"/>
      <c r="IP66" s="22"/>
      <c r="IQ66" s="22"/>
      <c r="IR66" s="22"/>
      <c r="IS66" s="22"/>
      <c r="IT66" s="22"/>
      <c r="IU66" s="22"/>
      <c r="IV66" s="22"/>
      <c r="IW66" s="22"/>
      <c r="IX66" s="22"/>
      <c r="IY66" s="22"/>
      <c r="IZ66" s="22"/>
      <c r="JA66" s="22"/>
      <c r="JB66" s="22"/>
      <c r="JC66" s="22"/>
      <c r="JD66" s="22"/>
      <c r="JE66" s="22"/>
      <c r="JJ66" s="22"/>
      <c r="JK66" s="22"/>
      <c r="JL66" s="22"/>
      <c r="JM66" s="22"/>
      <c r="JN66" s="22"/>
      <c r="JO66" s="22"/>
      <c r="JP66" s="22"/>
      <c r="JQ66" s="22"/>
      <c r="JR66" s="22"/>
      <c r="JS66" s="22"/>
      <c r="JT66" s="22"/>
      <c r="JU66" s="22"/>
      <c r="JV66" s="22"/>
      <c r="JW66" s="22"/>
      <c r="JX66" s="22"/>
      <c r="JY66" s="22"/>
      <c r="JZ66" s="22"/>
      <c r="KA66" s="22"/>
      <c r="KB66" s="22"/>
      <c r="KC66" s="22"/>
      <c r="KD66" s="22"/>
      <c r="KE66" s="22"/>
      <c r="KF66" s="22"/>
      <c r="KG66" s="22"/>
      <c r="KH66" s="22"/>
      <c r="KI66" s="22"/>
      <c r="KJ66" s="22"/>
      <c r="KK66" s="22"/>
      <c r="KL66" s="22"/>
      <c r="KM66" s="22"/>
      <c r="KN66" s="22"/>
      <c r="KO66" s="22"/>
      <c r="KP66" s="22"/>
      <c r="KQ66" s="22"/>
      <c r="KR66" s="22"/>
      <c r="KS66" s="22"/>
      <c r="KT66" s="22"/>
      <c r="KU66" s="22"/>
      <c r="KV66" s="22"/>
      <c r="KW66" s="22"/>
      <c r="KX66" s="22"/>
      <c r="KY66" s="22"/>
      <c r="KZ66" s="22"/>
      <c r="LA66" s="22"/>
      <c r="LB66" s="22"/>
      <c r="LC66" s="22"/>
      <c r="LD66" s="22"/>
      <c r="LE66" s="22"/>
      <c r="LF66" s="22"/>
      <c r="LG66" s="22"/>
      <c r="LH66" s="22"/>
      <c r="LI66" s="22"/>
      <c r="LJ66" s="22"/>
      <c r="LK66" s="22"/>
      <c r="LL66" s="22"/>
      <c r="LM66" s="22"/>
      <c r="LN66" s="22"/>
      <c r="LO66" s="22"/>
      <c r="LP66" s="22"/>
      <c r="LQ66" s="22"/>
      <c r="LR66" s="22"/>
      <c r="LS66" s="22"/>
      <c r="LT66" s="22"/>
      <c r="LU66" s="22"/>
      <c r="LV66" s="22"/>
      <c r="LW66" s="22"/>
      <c r="LX66" s="22"/>
      <c r="LY66" s="22"/>
      <c r="LZ66" s="22"/>
      <c r="MA66" s="22"/>
      <c r="MB66" s="22"/>
      <c r="MC66" s="22"/>
      <c r="MD66" s="22"/>
      <c r="ME66" s="22"/>
      <c r="MF66" s="22"/>
      <c r="MG66" s="22"/>
      <c r="MH66" s="22"/>
      <c r="MI66" s="22"/>
      <c r="MJ66" s="22"/>
      <c r="MK66" s="22"/>
      <c r="ML66" s="22"/>
      <c r="MM66" s="22"/>
      <c r="MN66" s="22"/>
      <c r="MO66" s="22"/>
      <c r="MP66" s="22"/>
      <c r="MQ66" s="22"/>
      <c r="MR66" s="22"/>
      <c r="MS66" s="22"/>
      <c r="MT66" s="22"/>
      <c r="MU66" s="22"/>
      <c r="MV66" s="22"/>
      <c r="MW66" s="22"/>
      <c r="MX66" s="22"/>
      <c r="MY66" s="22"/>
      <c r="MZ66" s="22"/>
      <c r="NA66" s="22"/>
      <c r="NB66" s="22"/>
      <c r="NC66" s="22"/>
      <c r="ND66" s="22"/>
      <c r="NE66" s="22"/>
      <c r="NF66" s="22"/>
      <c r="NG66" s="22"/>
      <c r="NH66" s="22"/>
      <c r="NI66" s="22"/>
      <c r="NJ66" s="22"/>
      <c r="NK66" s="22"/>
      <c r="NL66" s="22"/>
      <c r="NM66" s="22"/>
      <c r="NN66" s="22"/>
      <c r="NO66" s="22"/>
      <c r="NP66" s="22"/>
      <c r="NQ66" s="22"/>
      <c r="NR66" s="22"/>
      <c r="NS66" s="22"/>
      <c r="NT66" s="22"/>
      <c r="NU66" s="22"/>
      <c r="NV66" s="22"/>
      <c r="NW66" s="22"/>
      <c r="NX66" s="22"/>
      <c r="NY66" s="22"/>
      <c r="NZ66" s="22"/>
      <c r="OA66" s="22"/>
      <c r="OB66" s="22"/>
      <c r="OC66" s="22"/>
      <c r="OD66" s="22"/>
      <c r="OE66" s="22"/>
      <c r="OF66" s="22"/>
      <c r="OG66" s="22"/>
      <c r="OH66" s="22"/>
      <c r="OI66" s="22"/>
      <c r="OJ66" s="22"/>
      <c r="OK66" s="22"/>
      <c r="OL66" s="22"/>
      <c r="OM66" s="22"/>
      <c r="ON66" s="22"/>
      <c r="OO66" s="22"/>
      <c r="OP66" s="22"/>
      <c r="OQ66" s="22"/>
      <c r="OR66" s="22"/>
      <c r="OS66" s="22"/>
      <c r="OT66" s="22"/>
      <c r="OU66" s="22"/>
      <c r="OV66" s="22"/>
      <c r="OW66" s="22"/>
      <c r="OX66" s="22"/>
      <c r="OY66" s="22"/>
      <c r="OZ66" s="22"/>
      <c r="PA66" s="22"/>
      <c r="PB66" s="22"/>
      <c r="PC66" s="22"/>
      <c r="PD66" s="22"/>
      <c r="PE66" s="22"/>
      <c r="PF66" s="22"/>
      <c r="PG66" s="22"/>
      <c r="PH66" s="22"/>
      <c r="PI66" s="22"/>
      <c r="PJ66" s="22"/>
      <c r="PK66" s="22"/>
      <c r="PL66" s="22"/>
      <c r="PM66" s="22"/>
      <c r="PN66" s="22"/>
      <c r="PO66" s="22"/>
      <c r="PP66" s="22"/>
      <c r="PQ66" s="22"/>
      <c r="PR66" s="22"/>
      <c r="PS66" s="22"/>
      <c r="PT66" s="22"/>
      <c r="PU66" s="22"/>
      <c r="PV66" s="22"/>
      <c r="PW66" s="22"/>
      <c r="PX66" s="22"/>
      <c r="PY66" s="22"/>
      <c r="PZ66" s="22"/>
      <c r="QA66" s="22"/>
      <c r="QB66" s="22"/>
      <c r="QC66" s="22"/>
      <c r="QD66" s="22"/>
      <c r="QE66" s="22"/>
      <c r="QF66" s="22"/>
      <c r="QG66" s="22"/>
      <c r="QH66" s="22"/>
      <c r="QI66" s="22"/>
      <c r="QJ66" s="22"/>
      <c r="QK66" s="22"/>
      <c r="QL66" s="22"/>
      <c r="QM66" s="22"/>
      <c r="QN66" s="22"/>
      <c r="QO66" s="22"/>
      <c r="QP66" s="22"/>
      <c r="QQ66" s="22"/>
      <c r="QR66" s="22"/>
      <c r="QS66" s="22"/>
      <c r="QT66" s="22"/>
      <c r="QU66" s="22"/>
      <c r="QV66" s="22"/>
      <c r="QW66" s="22"/>
      <c r="QX66" s="22"/>
      <c r="QY66" s="22"/>
      <c r="QZ66" s="22"/>
      <c r="RA66" s="22"/>
      <c r="RB66" s="22"/>
      <c r="RC66" s="22"/>
      <c r="RD66" s="22"/>
      <c r="RE66" s="22"/>
      <c r="RF66" s="22"/>
      <c r="RG66" s="22"/>
      <c r="RH66" s="22"/>
      <c r="RI66" s="22"/>
      <c r="RJ66" s="22"/>
      <c r="RK66" s="22"/>
      <c r="RL66" s="22"/>
      <c r="RM66" s="22"/>
      <c r="RN66" s="22"/>
      <c r="RO66" s="22"/>
      <c r="RP66" s="22"/>
      <c r="RQ66" s="22"/>
      <c r="RR66" s="22"/>
      <c r="RS66" s="22"/>
      <c r="RT66" s="22"/>
      <c r="RU66" s="22"/>
      <c r="RV66" s="22"/>
      <c r="RW66" s="22"/>
      <c r="RX66" s="22"/>
      <c r="RY66" s="22"/>
      <c r="RZ66" s="22"/>
      <c r="SA66" s="22"/>
      <c r="SB66" s="22"/>
      <c r="SC66" s="22"/>
      <c r="SD66" s="22"/>
      <c r="SE66" s="22"/>
      <c r="SF66" s="22"/>
      <c r="SG66" s="22"/>
      <c r="SH66" s="22"/>
      <c r="SI66" s="22"/>
      <c r="SJ66" s="22"/>
      <c r="SK66" s="22"/>
      <c r="SL66" s="22"/>
      <c r="SM66" s="22"/>
      <c r="SN66" s="22"/>
      <c r="SO66" s="22"/>
      <c r="SP66" s="22"/>
      <c r="SQ66" s="22"/>
      <c r="SR66" s="22"/>
      <c r="SS66" s="22"/>
      <c r="ST66" s="22"/>
      <c r="SU66" s="22"/>
      <c r="SV66" s="22"/>
      <c r="SW66" s="22"/>
      <c r="SX66" s="22"/>
      <c r="SY66" s="22"/>
      <c r="SZ66" s="22"/>
      <c r="TA66" s="22"/>
      <c r="TB66" s="22"/>
      <c r="TC66" s="22"/>
      <c r="TD66" s="22"/>
      <c r="TE66" s="22"/>
      <c r="TF66" s="22"/>
      <c r="TG66" s="22"/>
      <c r="TH66" s="22"/>
      <c r="TI66" s="22"/>
      <c r="TJ66" s="22"/>
      <c r="TK66" s="22"/>
      <c r="TL66" s="22"/>
      <c r="TM66" s="22"/>
      <c r="TN66" s="22"/>
      <c r="TO66" s="22"/>
      <c r="TP66" s="22"/>
      <c r="TQ66" s="22"/>
      <c r="TR66" s="22"/>
      <c r="TS66" s="22"/>
      <c r="TT66" s="22"/>
      <c r="TU66" s="22"/>
      <c r="TV66" s="22"/>
      <c r="TW66" s="22"/>
      <c r="TX66" s="22"/>
      <c r="TY66" s="22"/>
      <c r="TZ66" s="22"/>
      <c r="UA66" s="22"/>
      <c r="UB66" s="22"/>
      <c r="UC66" s="22"/>
      <c r="UD66" s="22"/>
      <c r="UE66" s="22"/>
      <c r="UF66" s="22"/>
      <c r="UG66" s="22"/>
      <c r="UH66" s="22"/>
      <c r="UI66" s="22"/>
      <c r="UJ66" s="22"/>
      <c r="UK66" s="22"/>
      <c r="UL66" s="22"/>
      <c r="UM66" s="22"/>
      <c r="UN66" s="22"/>
      <c r="UO66" s="22"/>
      <c r="UP66" s="22"/>
      <c r="UQ66" s="22"/>
      <c r="UR66" s="22"/>
      <c r="US66" s="22"/>
      <c r="UT66" s="22"/>
      <c r="UU66" s="22"/>
      <c r="UV66" s="22"/>
      <c r="UW66" s="22"/>
      <c r="UX66" s="22"/>
      <c r="UY66" s="22"/>
      <c r="UZ66" s="22"/>
      <c r="VA66" s="22"/>
      <c r="VB66" s="22"/>
      <c r="VC66" s="22"/>
      <c r="VD66" s="22"/>
      <c r="VE66" s="22"/>
      <c r="VF66" s="22"/>
      <c r="VG66" s="22"/>
      <c r="VH66" s="22"/>
      <c r="VI66" s="22"/>
      <c r="VJ66" s="22"/>
      <c r="VK66" s="22"/>
      <c r="VL66" s="22"/>
      <c r="VM66" s="22"/>
      <c r="VN66" s="22"/>
      <c r="VO66" s="22"/>
      <c r="VP66" s="22"/>
      <c r="VQ66" s="22"/>
      <c r="VR66" s="22"/>
      <c r="VS66" s="22"/>
      <c r="VT66" s="22"/>
      <c r="VU66" s="22"/>
      <c r="VV66" s="22"/>
      <c r="VW66" s="22"/>
      <c r="VX66" s="22"/>
      <c r="VY66" s="22"/>
      <c r="VZ66" s="22"/>
      <c r="WA66" s="22"/>
      <c r="WB66" s="22"/>
      <c r="WC66" s="22"/>
      <c r="WD66" s="22"/>
      <c r="WE66" s="22"/>
      <c r="WF66" s="22"/>
      <c r="WG66" s="22"/>
      <c r="WH66" s="22"/>
      <c r="WI66" s="22"/>
      <c r="WJ66" s="22"/>
      <c r="WK66" s="22"/>
      <c r="WL66" s="22"/>
      <c r="WM66" s="22"/>
      <c r="WN66" s="22"/>
      <c r="WO66" s="22"/>
      <c r="WP66" s="22"/>
      <c r="WQ66" s="22"/>
      <c r="WR66" s="22"/>
      <c r="WS66" s="22"/>
      <c r="WT66" s="22"/>
      <c r="WU66" s="22"/>
      <c r="WV66" s="22"/>
      <c r="WW66" s="22"/>
      <c r="WX66" s="22"/>
      <c r="WY66" s="22"/>
      <c r="WZ66" s="22"/>
      <c r="XA66" s="22"/>
      <c r="XB66" s="22"/>
      <c r="XC66" s="22"/>
      <c r="XD66" s="22"/>
      <c r="XE66" s="22"/>
      <c r="XF66" s="22"/>
      <c r="XG66" s="22"/>
      <c r="XH66" s="22"/>
      <c r="XI66" s="22"/>
      <c r="XJ66" s="22"/>
      <c r="XK66" s="22"/>
      <c r="XL66" s="22"/>
      <c r="XM66" s="22"/>
      <c r="XN66" s="22"/>
      <c r="XO66" s="22"/>
      <c r="XP66" s="22"/>
      <c r="XQ66" s="22"/>
      <c r="XR66" s="22"/>
      <c r="XS66" s="22"/>
      <c r="XT66" s="22"/>
      <c r="XU66" s="22"/>
      <c r="XV66" s="22"/>
      <c r="XW66" s="22"/>
      <c r="XX66" s="22"/>
      <c r="XY66" s="22"/>
      <c r="XZ66" s="22"/>
      <c r="YA66" s="22"/>
      <c r="YB66" s="22"/>
      <c r="YC66" s="22"/>
      <c r="YD66" s="22"/>
      <c r="YE66" s="22"/>
      <c r="YF66" s="22"/>
      <c r="YG66" s="22"/>
      <c r="YH66" s="22"/>
      <c r="YI66" s="22"/>
      <c r="YJ66" s="22"/>
      <c r="YK66" s="22"/>
      <c r="YL66" s="22"/>
      <c r="YM66" s="22"/>
      <c r="YN66" s="22"/>
      <c r="YO66" s="22"/>
      <c r="YP66" s="22"/>
      <c r="YQ66" s="22"/>
      <c r="YR66" s="22"/>
      <c r="YS66" s="22"/>
      <c r="YT66" s="22"/>
      <c r="YU66" s="22"/>
      <c r="YV66" s="22"/>
      <c r="YW66" s="22"/>
      <c r="YX66" s="22"/>
      <c r="YY66" s="22"/>
      <c r="YZ66" s="22"/>
      <c r="ZA66" s="22"/>
      <c r="ZB66" s="22"/>
      <c r="ZC66" s="22"/>
      <c r="ZD66" s="22"/>
      <c r="ZE66" s="22"/>
      <c r="ZF66" s="22"/>
      <c r="ZG66" s="22"/>
      <c r="ZH66" s="22"/>
      <c r="ZI66" s="22"/>
      <c r="ZJ66" s="22"/>
      <c r="ZK66" s="22"/>
      <c r="ZL66" s="22"/>
      <c r="ZM66" s="22"/>
      <c r="ZN66" s="22"/>
      <c r="ZO66" s="22"/>
      <c r="ZP66" s="22"/>
      <c r="ZQ66" s="22"/>
      <c r="ZR66" s="22"/>
      <c r="ZS66" s="22"/>
      <c r="ZT66" s="22"/>
      <c r="ZU66" s="22"/>
      <c r="ZV66" s="22"/>
      <c r="ZW66" s="22"/>
      <c r="ZX66" s="22"/>
      <c r="ZY66" s="22"/>
      <c r="ZZ66" s="22"/>
      <c r="AAA66" s="22"/>
      <c r="AAB66" s="22"/>
      <c r="AAC66" s="22"/>
      <c r="AAD66" s="22"/>
      <c r="AAE66" s="22"/>
      <c r="AAF66" s="22"/>
      <c r="AAG66" s="22"/>
      <c r="AAH66" s="22"/>
      <c r="AAI66" s="22"/>
      <c r="AAJ66" s="22"/>
      <c r="AAK66" s="22"/>
      <c r="AAL66" s="22"/>
      <c r="AAM66" s="22"/>
      <c r="AAN66" s="22"/>
      <c r="AAO66" s="22"/>
      <c r="AAP66" s="22"/>
      <c r="AAQ66" s="22"/>
      <c r="AAR66" s="22"/>
      <c r="AAS66" s="22"/>
      <c r="AAT66" s="22"/>
      <c r="AAU66" s="22"/>
      <c r="AAV66" s="22"/>
      <c r="AAW66" s="22"/>
      <c r="AAX66" s="22"/>
      <c r="AAY66" s="22"/>
      <c r="AAZ66" s="22"/>
      <c r="ABA66" s="22"/>
      <c r="ABB66" s="22"/>
      <c r="ABC66" s="22"/>
    </row>
    <row r="67" spans="1:731" ht="15" customHeight="1" x14ac:dyDescent="0.3">
      <c r="A67" s="403"/>
      <c r="B67" s="398"/>
      <c r="C67" s="78"/>
      <c r="D67" s="21" t="s">
        <v>13</v>
      </c>
      <c r="E67" s="375" t="s">
        <v>75</v>
      </c>
      <c r="F67" s="105">
        <f t="shared" ref="F67:F78" si="75">J67/$F$2</f>
        <v>660.40556496546708</v>
      </c>
      <c r="G67" s="58">
        <f t="shared" ref="G67:G78" si="76">K67/$F$2</f>
        <v>780.84752933959112</v>
      </c>
      <c r="H67" s="52">
        <v>-3271.4160825440522</v>
      </c>
      <c r="I67" s="14">
        <f t="shared" si="1"/>
        <v>-0.15424517572078242</v>
      </c>
      <c r="J67" s="15">
        <f>'[89]Lubricant Cluster 1 Summary'!$H$6</f>
        <v>197151.66232</v>
      </c>
      <c r="K67" s="16">
        <f>'[89]Lubricant Cluster 1 Summary'!$I$6</f>
        <v>233107.34584105943</v>
      </c>
      <c r="L67" s="52">
        <f t="shared" ref="L67:L78" si="77">J67-K67</f>
        <v>-35955.683521059429</v>
      </c>
      <c r="M67" s="14">
        <f t="shared" si="21"/>
        <v>-0.1542451757207825</v>
      </c>
      <c r="N67" s="15">
        <f>'[89]Lubricant Cluster 1 Summary'!$L$6</f>
        <v>52865.343939611586</v>
      </c>
      <c r="O67" s="16">
        <f>'[89]Lubricant Cluster 1 Summary'!$M$6</f>
        <v>67784.798364483242</v>
      </c>
      <c r="P67" s="52">
        <f t="shared" si="66"/>
        <v>-14919.454424871656</v>
      </c>
      <c r="Q67" s="14">
        <f t="shared" si="2"/>
        <v>-0.2201002995487098</v>
      </c>
      <c r="R67" s="15">
        <f>'[89]Lubricant Cluster 1 Summary'!$R$6</f>
        <v>255.23069000000001</v>
      </c>
      <c r="S67" s="16">
        <f>'[89]Lubricant Cluster 1 Summary'!$S$6</f>
        <v>0</v>
      </c>
      <c r="T67" s="13">
        <f>R67-S67</f>
        <v>255.23069000000001</v>
      </c>
      <c r="U67" s="14">
        <v>-0.2758526023014235</v>
      </c>
      <c r="V67" s="15">
        <f>'[89]Lubricant Cluster 1 Summary'!$V$6</f>
        <v>32052.168274602973</v>
      </c>
      <c r="W67" s="16">
        <f>'[89]Lubricant Cluster 1 Summary'!$W$6</f>
        <v>36589.670860600687</v>
      </c>
      <c r="X67" s="52">
        <v>-3271.4160825440522</v>
      </c>
      <c r="Y67" s="14">
        <f t="shared" si="4"/>
        <v>-0.12401047834741913</v>
      </c>
      <c r="Z67" s="15">
        <f>'[89]Lubricant Cluster 1 Summary'!$AD$6</f>
        <v>23795.594355008612</v>
      </c>
      <c r="AA67" s="16">
        <f>'[89]Lubricant Cluster 1 Summary'!$AE$6</f>
        <v>31195.127503882548</v>
      </c>
      <c r="AB67" s="52">
        <v>-3271.4160825440522</v>
      </c>
      <c r="AC67" s="19">
        <f t="shared" si="5"/>
        <v>-0.23720156771127124</v>
      </c>
      <c r="AD67" s="366">
        <f>'[89]Lubricant Cluster 1 Summary'!$AJ$6</f>
        <v>12883.434745397024</v>
      </c>
      <c r="AE67" s="367">
        <f>'[89]Lubricant Cluster 1 Summary'!$AK$6</f>
        <v>7399.1992335717177</v>
      </c>
      <c r="AF67" s="108">
        <f t="shared" si="6"/>
        <v>5484.2355118253063</v>
      </c>
      <c r="AG67" s="113">
        <f t="shared" si="7"/>
        <v>0.74119311275498301</v>
      </c>
      <c r="AH67" s="142">
        <f>'[89]Lubricant Cluster 1 Summary'!$AN$6</f>
        <v>16613.514725308181</v>
      </c>
      <c r="AI67" s="128">
        <f>'[89]Lubricant Cluster 1 Summary'!$AO$6</f>
        <v>0</v>
      </c>
      <c r="AJ67" s="108">
        <f t="shared" si="8"/>
        <v>16613.514725308181</v>
      </c>
      <c r="AK67" s="20" t="str">
        <f>IFERROR(IF(AI67&lt;0,-(AH67-AI67)/AI67,(AH67-AI67)/AI67),"")</f>
        <v/>
      </c>
      <c r="AL67" s="142">
        <f>'[89]Lubricant Cluster 1 Summary'!$AR$6</f>
        <v>27525.674334919771</v>
      </c>
      <c r="AM67" s="133">
        <f>'[89]Lubricant Cluster 1 Summary'!$AS$6</f>
        <v>23795.928270310829</v>
      </c>
      <c r="AN67" s="13">
        <f t="shared" si="9"/>
        <v>3729.7460646089421</v>
      </c>
      <c r="AO67" s="19">
        <f t="shared" si="10"/>
        <v>0.15673883457038271</v>
      </c>
      <c r="AP67" s="119" t="s">
        <v>151</v>
      </c>
      <c r="AQ67" s="43"/>
      <c r="AR67" s="1">
        <f t="shared" si="11"/>
        <v>-2727.1880000000019</v>
      </c>
      <c r="AS67" s="1">
        <f t="shared" si="12"/>
        <v>0</v>
      </c>
      <c r="AT67" s="1">
        <f t="shared" si="13"/>
        <v>0</v>
      </c>
      <c r="AU67" s="1">
        <f t="shared" si="14"/>
        <v>0</v>
      </c>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c r="FT67" s="22"/>
      <c r="FU67" s="22"/>
      <c r="FV67" s="22"/>
      <c r="FW67" s="22"/>
      <c r="FX67" s="22"/>
      <c r="FY67" s="22"/>
      <c r="FZ67" s="22"/>
      <c r="GA67" s="22"/>
      <c r="GB67" s="22"/>
      <c r="GC67" s="22"/>
      <c r="GD67" s="22"/>
      <c r="GE67" s="22"/>
      <c r="GF67" s="22"/>
      <c r="GG67" s="22"/>
      <c r="GH67" s="22"/>
      <c r="GI67" s="22"/>
      <c r="GJ67" s="22"/>
      <c r="GK67" s="22"/>
      <c r="GL67" s="22"/>
      <c r="GM67" s="22"/>
      <c r="GN67" s="22"/>
      <c r="GO67" s="22"/>
      <c r="GP67" s="22"/>
      <c r="GQ67" s="22"/>
      <c r="GR67" s="22"/>
      <c r="GS67" s="22"/>
      <c r="GT67" s="22"/>
      <c r="GU67" s="22"/>
      <c r="GV67" s="22"/>
      <c r="GW67" s="22"/>
      <c r="GX67" s="22"/>
      <c r="GY67" s="22"/>
      <c r="GZ67" s="22"/>
      <c r="HA67" s="22"/>
      <c r="HB67" s="22"/>
      <c r="HC67" s="22"/>
      <c r="HD67" s="22"/>
      <c r="HE67" s="22"/>
      <c r="HF67" s="22"/>
      <c r="HG67" s="22"/>
      <c r="HH67" s="22"/>
      <c r="HI67" s="22"/>
      <c r="HJ67" s="22"/>
      <c r="HK67" s="22"/>
      <c r="HL67" s="22"/>
      <c r="HM67" s="22"/>
      <c r="HN67" s="22"/>
      <c r="HO67" s="22"/>
      <c r="HP67" s="22"/>
      <c r="HQ67" s="22"/>
      <c r="HR67" s="22"/>
      <c r="HS67" s="22"/>
      <c r="HT67" s="22"/>
      <c r="HU67" s="22"/>
      <c r="HV67" s="22"/>
      <c r="HW67" s="22"/>
      <c r="HX67" s="22"/>
      <c r="HY67" s="22"/>
      <c r="HZ67" s="22"/>
      <c r="IA67" s="22"/>
      <c r="IB67" s="22"/>
      <c r="IC67" s="22"/>
      <c r="ID67" s="22"/>
      <c r="IE67" s="22"/>
      <c r="IF67" s="22"/>
      <c r="IG67" s="22"/>
      <c r="IH67" s="22"/>
      <c r="II67" s="22"/>
      <c r="IJ67" s="22"/>
      <c r="IK67" s="22"/>
      <c r="IL67" s="22"/>
      <c r="IM67" s="22"/>
      <c r="IN67" s="22"/>
      <c r="IO67" s="22"/>
      <c r="IP67" s="22"/>
      <c r="IQ67" s="22"/>
      <c r="IR67" s="22"/>
      <c r="IS67" s="22"/>
      <c r="IT67" s="22"/>
      <c r="IU67" s="22"/>
      <c r="IV67" s="22"/>
      <c r="IW67" s="22"/>
      <c r="IX67" s="22"/>
      <c r="IY67" s="22"/>
      <c r="IZ67" s="22"/>
      <c r="JA67" s="22"/>
      <c r="JB67" s="22"/>
      <c r="JC67" s="22"/>
      <c r="JD67" s="22"/>
      <c r="JE67" s="22"/>
      <c r="JJ67" s="22"/>
      <c r="JK67" s="22"/>
      <c r="JL67" s="22"/>
      <c r="JM67" s="22"/>
      <c r="JN67" s="22"/>
      <c r="JO67" s="22"/>
      <c r="JP67" s="22"/>
      <c r="JQ67" s="22"/>
      <c r="JR67" s="22"/>
      <c r="JS67" s="22"/>
      <c r="JT67" s="22"/>
      <c r="JU67" s="22"/>
      <c r="JV67" s="22"/>
      <c r="JW67" s="22"/>
      <c r="JX67" s="22"/>
      <c r="JY67" s="22"/>
      <c r="JZ67" s="22"/>
      <c r="KA67" s="22"/>
      <c r="KB67" s="22"/>
      <c r="KC67" s="22"/>
      <c r="KD67" s="22"/>
      <c r="KE67" s="22"/>
      <c r="KF67" s="22"/>
      <c r="KG67" s="22"/>
      <c r="KH67" s="22"/>
      <c r="KI67" s="22"/>
      <c r="KJ67" s="22"/>
      <c r="KK67" s="22"/>
      <c r="KL67" s="22"/>
      <c r="KM67" s="22"/>
      <c r="KN67" s="22"/>
      <c r="KO67" s="22"/>
      <c r="KP67" s="22"/>
      <c r="KQ67" s="22"/>
      <c r="KR67" s="22"/>
      <c r="KS67" s="22"/>
      <c r="KT67" s="22"/>
      <c r="KU67" s="22"/>
      <c r="KV67" s="22"/>
      <c r="KW67" s="22"/>
      <c r="KX67" s="22"/>
      <c r="KY67" s="22"/>
      <c r="KZ67" s="22"/>
      <c r="LA67" s="22"/>
      <c r="LB67" s="22"/>
      <c r="LC67" s="22"/>
      <c r="LD67" s="22"/>
      <c r="LE67" s="22"/>
      <c r="LF67" s="22"/>
      <c r="LG67" s="22"/>
      <c r="LH67" s="22"/>
      <c r="LI67" s="22"/>
      <c r="LJ67" s="22"/>
      <c r="LK67" s="22"/>
      <c r="LL67" s="22"/>
      <c r="LM67" s="22"/>
      <c r="LN67" s="22"/>
      <c r="LO67" s="22"/>
      <c r="LP67" s="22"/>
      <c r="LQ67" s="22"/>
      <c r="LR67" s="22"/>
      <c r="LS67" s="22"/>
      <c r="LT67" s="22"/>
      <c r="LU67" s="22"/>
      <c r="LV67" s="22"/>
      <c r="LW67" s="22"/>
      <c r="LX67" s="22"/>
      <c r="LY67" s="22"/>
      <c r="LZ67" s="22"/>
      <c r="MA67" s="22"/>
      <c r="MB67" s="22"/>
      <c r="MC67" s="22"/>
      <c r="MD67" s="22"/>
      <c r="ME67" s="22"/>
      <c r="MF67" s="22"/>
      <c r="MG67" s="22"/>
      <c r="MH67" s="22"/>
      <c r="MI67" s="22"/>
      <c r="MJ67" s="22"/>
      <c r="MK67" s="22"/>
      <c r="ML67" s="22"/>
      <c r="MM67" s="22"/>
      <c r="MN67" s="22"/>
      <c r="MO67" s="22"/>
      <c r="MP67" s="22"/>
      <c r="MQ67" s="22"/>
      <c r="MR67" s="22"/>
      <c r="MS67" s="22"/>
      <c r="MT67" s="22"/>
      <c r="MU67" s="22"/>
      <c r="MV67" s="22"/>
      <c r="MW67" s="22"/>
      <c r="MX67" s="22"/>
      <c r="MY67" s="22"/>
      <c r="MZ67" s="22"/>
      <c r="NA67" s="22"/>
      <c r="NB67" s="22"/>
      <c r="NC67" s="22"/>
      <c r="ND67" s="22"/>
      <c r="NE67" s="22"/>
      <c r="NF67" s="22"/>
      <c r="NG67" s="22"/>
      <c r="NH67" s="22"/>
      <c r="NI67" s="22"/>
      <c r="NJ67" s="22"/>
      <c r="NK67" s="22"/>
      <c r="NL67" s="22"/>
      <c r="NM67" s="22"/>
      <c r="NN67" s="22"/>
      <c r="NO67" s="22"/>
      <c r="NP67" s="22"/>
      <c r="NQ67" s="22"/>
      <c r="NR67" s="22"/>
      <c r="NS67" s="22"/>
      <c r="NT67" s="22"/>
      <c r="NU67" s="22"/>
      <c r="NV67" s="22"/>
      <c r="NW67" s="22"/>
      <c r="NX67" s="22"/>
      <c r="NY67" s="22"/>
      <c r="NZ67" s="22"/>
      <c r="OA67" s="22"/>
      <c r="OB67" s="22"/>
      <c r="OC67" s="22"/>
      <c r="OD67" s="22"/>
      <c r="OE67" s="22"/>
      <c r="OF67" s="22"/>
      <c r="OG67" s="22"/>
      <c r="OH67" s="22"/>
      <c r="OI67" s="22"/>
      <c r="OJ67" s="22"/>
      <c r="OK67" s="22"/>
      <c r="OL67" s="22"/>
      <c r="OM67" s="22"/>
      <c r="ON67" s="22"/>
      <c r="OO67" s="22"/>
      <c r="OP67" s="22"/>
      <c r="OQ67" s="22"/>
      <c r="OR67" s="22"/>
      <c r="OS67" s="22"/>
      <c r="OT67" s="22"/>
      <c r="OU67" s="22"/>
      <c r="OV67" s="22"/>
      <c r="OW67" s="22"/>
      <c r="OX67" s="22"/>
      <c r="OY67" s="22"/>
      <c r="OZ67" s="22"/>
      <c r="PA67" s="22"/>
      <c r="PB67" s="22"/>
      <c r="PC67" s="22"/>
      <c r="PD67" s="22"/>
      <c r="PE67" s="22"/>
      <c r="PF67" s="22"/>
      <c r="PG67" s="22"/>
      <c r="PH67" s="22"/>
      <c r="PI67" s="22"/>
      <c r="PJ67" s="22"/>
      <c r="PK67" s="22"/>
      <c r="PL67" s="22"/>
      <c r="PM67" s="22"/>
      <c r="PN67" s="22"/>
      <c r="PO67" s="22"/>
      <c r="PP67" s="22"/>
      <c r="PQ67" s="22"/>
      <c r="PR67" s="22"/>
      <c r="PS67" s="22"/>
      <c r="PT67" s="22"/>
      <c r="PU67" s="22"/>
      <c r="PV67" s="22"/>
      <c r="PW67" s="22"/>
      <c r="PX67" s="22"/>
      <c r="PY67" s="22"/>
      <c r="PZ67" s="22"/>
      <c r="QA67" s="22"/>
      <c r="QB67" s="22"/>
      <c r="QC67" s="22"/>
      <c r="QD67" s="22"/>
      <c r="QE67" s="22"/>
      <c r="QF67" s="22"/>
      <c r="QG67" s="22"/>
      <c r="QH67" s="22"/>
      <c r="QI67" s="22"/>
      <c r="QJ67" s="22"/>
      <c r="QK67" s="22"/>
      <c r="QL67" s="22"/>
      <c r="QM67" s="22"/>
      <c r="QN67" s="22"/>
      <c r="QO67" s="22"/>
      <c r="QP67" s="22"/>
      <c r="QQ67" s="22"/>
      <c r="QR67" s="22"/>
      <c r="QS67" s="22"/>
      <c r="QT67" s="22"/>
      <c r="QU67" s="22"/>
      <c r="QV67" s="22"/>
      <c r="QW67" s="22"/>
      <c r="QX67" s="22"/>
      <c r="QY67" s="22"/>
      <c r="QZ67" s="22"/>
      <c r="RA67" s="22"/>
      <c r="RB67" s="22"/>
      <c r="RC67" s="22"/>
      <c r="RD67" s="22"/>
      <c r="RE67" s="22"/>
      <c r="RF67" s="22"/>
      <c r="RG67" s="22"/>
      <c r="RH67" s="22"/>
      <c r="RI67" s="22"/>
      <c r="RJ67" s="22"/>
      <c r="RK67" s="22"/>
      <c r="RL67" s="22"/>
      <c r="RM67" s="22"/>
      <c r="RN67" s="22"/>
      <c r="RO67" s="22"/>
      <c r="RP67" s="22"/>
      <c r="RQ67" s="22"/>
      <c r="RR67" s="22"/>
      <c r="RS67" s="22"/>
      <c r="RT67" s="22"/>
      <c r="RU67" s="22"/>
      <c r="RV67" s="22"/>
      <c r="RW67" s="22"/>
      <c r="RX67" s="22"/>
      <c r="RY67" s="22"/>
      <c r="RZ67" s="22"/>
      <c r="SA67" s="22"/>
      <c r="SB67" s="22"/>
      <c r="SC67" s="22"/>
      <c r="SD67" s="22"/>
      <c r="SE67" s="22"/>
      <c r="SF67" s="22"/>
      <c r="SG67" s="22"/>
      <c r="SH67" s="22"/>
      <c r="SI67" s="22"/>
      <c r="SJ67" s="22"/>
      <c r="SK67" s="22"/>
      <c r="SL67" s="22"/>
      <c r="SM67" s="22"/>
      <c r="SN67" s="22"/>
      <c r="SO67" s="22"/>
      <c r="SP67" s="22"/>
      <c r="SQ67" s="22"/>
      <c r="SR67" s="22"/>
      <c r="SS67" s="22"/>
      <c r="ST67" s="22"/>
      <c r="SU67" s="22"/>
      <c r="SV67" s="22"/>
      <c r="SW67" s="22"/>
      <c r="SX67" s="22"/>
      <c r="SY67" s="22"/>
      <c r="SZ67" s="22"/>
      <c r="TA67" s="22"/>
      <c r="TB67" s="22"/>
      <c r="TC67" s="22"/>
      <c r="TD67" s="22"/>
      <c r="TE67" s="22"/>
      <c r="TF67" s="22"/>
      <c r="TG67" s="22"/>
      <c r="TH67" s="22"/>
      <c r="TI67" s="22"/>
      <c r="TJ67" s="22"/>
      <c r="TK67" s="22"/>
      <c r="TL67" s="22"/>
      <c r="TM67" s="22"/>
      <c r="TN67" s="22"/>
      <c r="TO67" s="22"/>
      <c r="TP67" s="22"/>
      <c r="TQ67" s="22"/>
      <c r="TR67" s="22"/>
      <c r="TS67" s="22"/>
      <c r="TT67" s="22"/>
      <c r="TU67" s="22"/>
      <c r="TV67" s="22"/>
      <c r="TW67" s="22"/>
      <c r="TX67" s="22"/>
      <c r="TY67" s="22"/>
      <c r="TZ67" s="22"/>
      <c r="UA67" s="22"/>
      <c r="UB67" s="22"/>
      <c r="UC67" s="22"/>
      <c r="UD67" s="22"/>
      <c r="UE67" s="22"/>
      <c r="UF67" s="22"/>
      <c r="UG67" s="22"/>
      <c r="UH67" s="22"/>
      <c r="UI67" s="22"/>
      <c r="UJ67" s="22"/>
      <c r="UK67" s="22"/>
      <c r="UL67" s="22"/>
      <c r="UM67" s="22"/>
      <c r="UN67" s="22"/>
      <c r="UO67" s="22"/>
      <c r="UP67" s="22"/>
      <c r="UQ67" s="22"/>
      <c r="UR67" s="22"/>
      <c r="US67" s="22"/>
      <c r="UT67" s="22"/>
      <c r="UU67" s="22"/>
      <c r="UV67" s="22"/>
      <c r="UW67" s="22"/>
      <c r="UX67" s="22"/>
      <c r="UY67" s="22"/>
      <c r="UZ67" s="22"/>
      <c r="VA67" s="22"/>
      <c r="VB67" s="22"/>
      <c r="VC67" s="22"/>
      <c r="VD67" s="22"/>
      <c r="VE67" s="22"/>
      <c r="VF67" s="22"/>
      <c r="VG67" s="22"/>
      <c r="VH67" s="22"/>
      <c r="VI67" s="22"/>
      <c r="VJ67" s="22"/>
      <c r="VK67" s="22"/>
      <c r="VL67" s="22"/>
      <c r="VM67" s="22"/>
      <c r="VN67" s="22"/>
      <c r="VO67" s="22"/>
      <c r="VP67" s="22"/>
      <c r="VQ67" s="22"/>
      <c r="VR67" s="22"/>
      <c r="VS67" s="22"/>
      <c r="VT67" s="22"/>
      <c r="VU67" s="22"/>
      <c r="VV67" s="22"/>
      <c r="VW67" s="22"/>
      <c r="VX67" s="22"/>
      <c r="VY67" s="22"/>
      <c r="VZ67" s="22"/>
      <c r="WA67" s="22"/>
      <c r="WB67" s="22"/>
      <c r="WC67" s="22"/>
      <c r="WD67" s="22"/>
      <c r="WE67" s="22"/>
      <c r="WF67" s="22"/>
      <c r="WG67" s="22"/>
      <c r="WH67" s="22"/>
      <c r="WI67" s="22"/>
      <c r="WJ67" s="22"/>
      <c r="WK67" s="22"/>
      <c r="WL67" s="22"/>
      <c r="WM67" s="22"/>
      <c r="WN67" s="22"/>
      <c r="WO67" s="22"/>
      <c r="WP67" s="22"/>
      <c r="WQ67" s="22"/>
      <c r="WR67" s="22"/>
      <c r="WS67" s="22"/>
      <c r="WT67" s="22"/>
      <c r="WU67" s="22"/>
      <c r="WV67" s="22"/>
      <c r="WW67" s="22"/>
      <c r="WX67" s="22"/>
      <c r="WY67" s="22"/>
      <c r="WZ67" s="22"/>
      <c r="XA67" s="22"/>
      <c r="XB67" s="22"/>
      <c r="XC67" s="22"/>
      <c r="XD67" s="22"/>
      <c r="XE67" s="22"/>
      <c r="XF67" s="22"/>
      <c r="XG67" s="22"/>
      <c r="XH67" s="22"/>
      <c r="XI67" s="22"/>
      <c r="XJ67" s="22"/>
      <c r="XK67" s="22"/>
      <c r="XL67" s="22"/>
      <c r="XM67" s="22"/>
      <c r="XN67" s="22"/>
      <c r="XO67" s="22"/>
      <c r="XP67" s="22"/>
      <c r="XQ67" s="22"/>
      <c r="XR67" s="22"/>
      <c r="XS67" s="22"/>
      <c r="XT67" s="22"/>
      <c r="XU67" s="22"/>
      <c r="XV67" s="22"/>
      <c r="XW67" s="22"/>
      <c r="XX67" s="22"/>
      <c r="XY67" s="22"/>
      <c r="XZ67" s="22"/>
      <c r="YA67" s="22"/>
      <c r="YB67" s="22"/>
      <c r="YC67" s="22"/>
      <c r="YD67" s="22"/>
      <c r="YE67" s="22"/>
      <c r="YF67" s="22"/>
      <c r="YG67" s="22"/>
      <c r="YH67" s="22"/>
      <c r="YI67" s="22"/>
      <c r="YJ67" s="22"/>
      <c r="YK67" s="22"/>
      <c r="YL67" s="22"/>
      <c r="YM67" s="22"/>
      <c r="YN67" s="22"/>
      <c r="YO67" s="22"/>
      <c r="YP67" s="22"/>
      <c r="YQ67" s="22"/>
      <c r="YR67" s="22"/>
      <c r="YS67" s="22"/>
      <c r="YT67" s="22"/>
      <c r="YU67" s="22"/>
      <c r="YV67" s="22"/>
      <c r="YW67" s="22"/>
      <c r="YX67" s="22"/>
      <c r="YY67" s="22"/>
      <c r="YZ67" s="22"/>
      <c r="ZA67" s="22"/>
      <c r="ZB67" s="22"/>
      <c r="ZC67" s="22"/>
      <c r="ZD67" s="22"/>
      <c r="ZE67" s="22"/>
      <c r="ZF67" s="22"/>
      <c r="ZG67" s="22"/>
      <c r="ZH67" s="22"/>
      <c r="ZI67" s="22"/>
      <c r="ZJ67" s="22"/>
      <c r="ZK67" s="22"/>
      <c r="ZL67" s="22"/>
      <c r="ZM67" s="22"/>
      <c r="ZN67" s="22"/>
      <c r="ZO67" s="22"/>
      <c r="ZP67" s="22"/>
      <c r="ZQ67" s="22"/>
      <c r="ZR67" s="22"/>
      <c r="ZS67" s="22"/>
      <c r="ZT67" s="22"/>
      <c r="ZU67" s="22"/>
      <c r="ZV67" s="22"/>
      <c r="ZW67" s="22"/>
      <c r="ZX67" s="22"/>
      <c r="ZY67" s="22"/>
      <c r="ZZ67" s="22"/>
      <c r="AAA67" s="22"/>
      <c r="AAB67" s="22"/>
      <c r="AAC67" s="22"/>
      <c r="AAD67" s="22"/>
      <c r="AAE67" s="22"/>
      <c r="AAF67" s="22"/>
      <c r="AAG67" s="22"/>
      <c r="AAH67" s="22"/>
      <c r="AAI67" s="22"/>
      <c r="AAJ67" s="22"/>
      <c r="AAK67" s="22"/>
      <c r="AAL67" s="22"/>
      <c r="AAM67" s="22"/>
      <c r="AAN67" s="22"/>
      <c r="AAO67" s="22"/>
      <c r="AAP67" s="22"/>
      <c r="AAQ67" s="22"/>
      <c r="AAR67" s="22"/>
      <c r="AAS67" s="22"/>
      <c r="AAT67" s="22"/>
      <c r="AAU67" s="22"/>
      <c r="AAV67" s="22"/>
      <c r="AAW67" s="22"/>
      <c r="AAX67" s="22"/>
      <c r="AAY67" s="22"/>
      <c r="AAZ67" s="22"/>
      <c r="ABA67" s="22"/>
      <c r="ABB67" s="22"/>
      <c r="ABC67" s="22"/>
    </row>
    <row r="68" spans="1:731" s="2" customFormat="1" ht="15" customHeight="1" x14ac:dyDescent="0.3">
      <c r="A68" s="403"/>
      <c r="B68" s="398"/>
      <c r="C68" s="68"/>
      <c r="D68" s="21" t="s">
        <v>13</v>
      </c>
      <c r="E68" s="376" t="s">
        <v>76</v>
      </c>
      <c r="F68" s="105">
        <f t="shared" si="75"/>
        <v>1086.9327221432759</v>
      </c>
      <c r="G68" s="58">
        <f t="shared" si="76"/>
        <v>1298.0650494335571</v>
      </c>
      <c r="H68" s="25">
        <v>-2200.6721554761425</v>
      </c>
      <c r="I68" s="14">
        <f t="shared" si="1"/>
        <v>-0.16265157696250587</v>
      </c>
      <c r="J68" s="18">
        <f>'[89]Lubricant Cluster 1 Summary'!$H$7</f>
        <v>324483.32414000004</v>
      </c>
      <c r="K68" s="82">
        <f>'[89]Lubricant Cluster 1 Summary'!$I$7</f>
        <v>387512.91005353769</v>
      </c>
      <c r="L68" s="52">
        <f t="shared" si="77"/>
        <v>-63029.585913537652</v>
      </c>
      <c r="M68" s="14">
        <f t="shared" si="21"/>
        <v>-0.16265157696250601</v>
      </c>
      <c r="N68" s="83">
        <f>'[89]Lubricant Cluster 1 Summary'!$L$7</f>
        <v>95222.250600000072</v>
      </c>
      <c r="O68" s="82">
        <f>'[89]Lubricant Cluster 1 Summary'!$M$7</f>
        <v>119952.00230670447</v>
      </c>
      <c r="P68" s="52">
        <f t="shared" si="66"/>
        <v>-24729.751706704395</v>
      </c>
      <c r="Q68" s="14">
        <f t="shared" si="2"/>
        <v>-0.20616372574984668</v>
      </c>
      <c r="R68" s="83">
        <f>'[89]Lubricant Cluster 1 Summary'!$R$7</f>
        <v>287.92347999999998</v>
      </c>
      <c r="S68" s="84">
        <f>'[89]Lubricant Cluster 1 Summary'!$S$7</f>
        <v>0</v>
      </c>
      <c r="T68" s="13">
        <f>R68-S68</f>
        <v>287.92347999999998</v>
      </c>
      <c r="U68" s="14">
        <v>-0.13878732296733964</v>
      </c>
      <c r="V68" s="83">
        <f>'[89]Lubricant Cluster 1 Summary'!$V$7</f>
        <v>83891.869689999992</v>
      </c>
      <c r="W68" s="84">
        <f>'[89]Lubricant Cluster 1 Summary'!$W$7</f>
        <v>78558.231166852871</v>
      </c>
      <c r="X68" s="25">
        <v>-2200.6721554761425</v>
      </c>
      <c r="Y68" s="14">
        <f t="shared" si="4"/>
        <v>6.7894076074839313E-2</v>
      </c>
      <c r="Z68" s="83">
        <f>'[89]Lubricant Cluster 1 Summary'!$AD$7</f>
        <v>12981.929560000075</v>
      </c>
      <c r="AA68" s="84">
        <f>'[89]Lubricant Cluster 1 Summary'!$AE$7</f>
        <v>41393.771139851648</v>
      </c>
      <c r="AB68" s="25">
        <v>-2200.6721554761425</v>
      </c>
      <c r="AC68" s="19">
        <f t="shared" si="5"/>
        <v>-0.68637963629504173</v>
      </c>
      <c r="AD68" s="124">
        <f>'[89]Lubricant Cluster 1 Summary'!$AJ$7</f>
        <v>0</v>
      </c>
      <c r="AE68" s="139">
        <f>'[89]Lubricant Cluster 1 Summary'!$AK$7</f>
        <v>0</v>
      </c>
      <c r="AF68" s="108">
        <f t="shared" si="6"/>
        <v>0</v>
      </c>
      <c r="AG68" s="113">
        <v>0</v>
      </c>
      <c r="AH68" s="143">
        <v>0</v>
      </c>
      <c r="AI68" s="127">
        <f>'[89]Lubricant Cluster 1 Summary'!$AO$7</f>
        <v>0</v>
      </c>
      <c r="AJ68" s="108">
        <f t="shared" si="8"/>
        <v>0</v>
      </c>
      <c r="AK68" s="19">
        <v>0</v>
      </c>
      <c r="AL68" s="142">
        <f>'[89]Lubricant Cluster 1 Summary'!$AR$7</f>
        <v>12981.929560000075</v>
      </c>
      <c r="AM68" s="133">
        <f>'[89]Lubricant Cluster 1 Summary'!$AS$7</f>
        <v>41393.771139851648</v>
      </c>
      <c r="AN68" s="13">
        <f t="shared" si="9"/>
        <v>-28411.841579851571</v>
      </c>
      <c r="AO68" s="19">
        <f t="shared" si="10"/>
        <v>-0.68637963629504173</v>
      </c>
      <c r="AP68" s="120" t="s">
        <v>152</v>
      </c>
      <c r="AQ68" s="43"/>
      <c r="AR68" s="1">
        <f t="shared" si="11"/>
        <v>-1363.6251699999975</v>
      </c>
      <c r="AS68" s="1">
        <f t="shared" si="12"/>
        <v>0</v>
      </c>
      <c r="AT68" s="1">
        <f t="shared" si="13"/>
        <v>0</v>
      </c>
      <c r="AU68" s="1">
        <f t="shared" si="14"/>
        <v>0</v>
      </c>
      <c r="AV68" s="85"/>
      <c r="AW68" s="85"/>
      <c r="AX68" s="85"/>
      <c r="AY68" s="85"/>
      <c r="AZ68" s="85"/>
      <c r="BA68" s="85"/>
      <c r="BB68" s="85"/>
      <c r="BC68" s="85"/>
      <c r="BD68" s="85"/>
      <c r="BE68" s="85"/>
      <c r="BF68" s="85"/>
      <c r="BG68" s="85"/>
      <c r="BH68" s="85"/>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85"/>
      <c r="CM68" s="85"/>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85"/>
      <c r="DO68" s="85"/>
      <c r="DP68" s="85"/>
      <c r="DQ68" s="85"/>
      <c r="DR68" s="85"/>
      <c r="DS68" s="85"/>
      <c r="DT68" s="85"/>
      <c r="DU68" s="85"/>
      <c r="DV68" s="85"/>
      <c r="DW68" s="85"/>
      <c r="DX68" s="85"/>
      <c r="DY68" s="85"/>
      <c r="DZ68" s="85"/>
      <c r="EA68" s="85"/>
      <c r="EB68" s="85"/>
      <c r="EC68" s="85"/>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c r="FB68" s="85"/>
      <c r="FC68" s="85"/>
      <c r="FD68" s="85"/>
      <c r="FE68" s="85"/>
      <c r="FF68" s="85"/>
      <c r="FG68" s="85"/>
      <c r="FH68" s="85"/>
      <c r="FI68" s="85"/>
      <c r="FJ68" s="85"/>
      <c r="FK68" s="85"/>
      <c r="FL68" s="85"/>
      <c r="FM68" s="85"/>
      <c r="FN68" s="85"/>
      <c r="FO68" s="85"/>
      <c r="FP68" s="85"/>
      <c r="FQ68" s="85"/>
      <c r="FR68" s="85"/>
      <c r="FS68" s="85"/>
      <c r="FT68" s="85"/>
      <c r="FU68" s="85"/>
      <c r="FV68" s="85"/>
      <c r="FW68" s="85"/>
      <c r="FX68" s="85"/>
      <c r="FY68" s="85"/>
      <c r="FZ68" s="85"/>
      <c r="GA68" s="85"/>
      <c r="GB68" s="85"/>
      <c r="GC68" s="85"/>
      <c r="GD68" s="85"/>
      <c r="GE68" s="85"/>
      <c r="GF68" s="85"/>
      <c r="GG68" s="85"/>
      <c r="GH68" s="85"/>
      <c r="GI68" s="85"/>
      <c r="GJ68" s="85"/>
      <c r="GK68" s="85"/>
      <c r="GL68" s="85"/>
      <c r="GM68" s="85"/>
      <c r="GN68" s="85"/>
      <c r="GO68" s="85"/>
      <c r="GP68" s="85"/>
      <c r="GQ68" s="85"/>
      <c r="GR68" s="85"/>
      <c r="GS68" s="85"/>
      <c r="GT68" s="85"/>
      <c r="GU68" s="85"/>
      <c r="GV68" s="85"/>
      <c r="GW68" s="85"/>
      <c r="GX68" s="85"/>
      <c r="GY68" s="85"/>
      <c r="GZ68" s="85"/>
      <c r="HA68" s="85"/>
      <c r="HB68" s="85"/>
      <c r="HC68" s="85"/>
      <c r="HD68" s="85"/>
      <c r="HE68" s="85"/>
      <c r="HF68" s="85"/>
      <c r="HG68" s="85"/>
      <c r="HH68" s="85"/>
      <c r="HI68" s="85"/>
      <c r="HJ68" s="85"/>
      <c r="HK68" s="85"/>
      <c r="HL68" s="85"/>
      <c r="HM68" s="85"/>
      <c r="HN68" s="85"/>
      <c r="HO68" s="85"/>
      <c r="HP68" s="85"/>
      <c r="HQ68" s="85"/>
      <c r="HR68" s="85"/>
      <c r="HS68" s="85"/>
      <c r="HT68" s="85"/>
      <c r="HU68" s="85"/>
      <c r="HV68" s="85"/>
      <c r="HW68" s="85"/>
      <c r="HX68" s="85"/>
      <c r="HY68" s="85"/>
      <c r="HZ68" s="85"/>
      <c r="IA68" s="85"/>
      <c r="IB68" s="85"/>
      <c r="IC68" s="85"/>
      <c r="ID68" s="85"/>
      <c r="IE68" s="85"/>
      <c r="IF68" s="85"/>
      <c r="IG68" s="85"/>
      <c r="IH68" s="85"/>
      <c r="II68" s="85"/>
      <c r="IJ68" s="85"/>
      <c r="IK68" s="85"/>
      <c r="IL68" s="85"/>
      <c r="IM68" s="85"/>
      <c r="IN68" s="85"/>
      <c r="IO68" s="85"/>
      <c r="IP68" s="85"/>
      <c r="IQ68" s="85"/>
      <c r="IR68" s="85"/>
      <c r="IS68" s="85"/>
      <c r="IT68" s="85"/>
      <c r="IU68" s="85"/>
      <c r="IV68" s="85"/>
      <c r="IW68" s="85"/>
      <c r="IX68" s="85"/>
      <c r="IY68" s="85"/>
    </row>
    <row r="69" spans="1:731" s="2" customFormat="1" ht="15" customHeight="1" x14ac:dyDescent="0.3">
      <c r="A69" s="403"/>
      <c r="B69" s="398"/>
      <c r="C69" s="68"/>
      <c r="D69" s="21" t="s">
        <v>13</v>
      </c>
      <c r="E69" s="81" t="s">
        <v>77</v>
      </c>
      <c r="F69" s="105">
        <f t="shared" si="75"/>
        <v>209.25392183911248</v>
      </c>
      <c r="G69" s="58">
        <f t="shared" si="76"/>
        <v>205.76575741388419</v>
      </c>
      <c r="H69" s="86">
        <v>-1335.8479559683246</v>
      </c>
      <c r="I69" s="14">
        <f t="shared" si="1"/>
        <v>1.6952113262519573E-2</v>
      </c>
      <c r="J69" s="18">
        <f>'[89]Lubricant Cluster 1 Summary'!$H$8</f>
        <v>62468.82329</v>
      </c>
      <c r="K69" s="82">
        <f>'[89]Lubricant Cluster 1 Summary'!$I$8</f>
        <v>61427.497396698047</v>
      </c>
      <c r="L69" s="52">
        <f t="shared" si="77"/>
        <v>1041.3258933019533</v>
      </c>
      <c r="M69" s="14">
        <f t="shared" si="21"/>
        <v>1.6952113262519601E-2</v>
      </c>
      <c r="N69" s="83">
        <f>'[89]Lubricant Cluster 1 Summary'!$L$8</f>
        <v>22901.682119999998</v>
      </c>
      <c r="O69" s="82">
        <f>'[89]Lubricant Cluster 1 Summary'!$M$8</f>
        <v>22647.096094114593</v>
      </c>
      <c r="P69" s="52">
        <f t="shared" si="66"/>
        <v>254.58602588540452</v>
      </c>
      <c r="Q69" s="14">
        <f t="shared" si="2"/>
        <v>1.1241442383050823E-2</v>
      </c>
      <c r="R69" s="83">
        <f>'[89]Lubricant Cluster 1 Summary'!$R$8</f>
        <v>35.153529999999996</v>
      </c>
      <c r="S69" s="84">
        <f>'[89]Lubricant Cluster 1 Summary'!$S$8</f>
        <v>0</v>
      </c>
      <c r="T69" s="13">
        <f>R69-S69</f>
        <v>35.153529999999996</v>
      </c>
      <c r="U69" s="14">
        <v>-0.3418891157508418</v>
      </c>
      <c r="V69" s="83">
        <f>'[89]Lubricant Cluster 1 Summary'!$V$8</f>
        <v>19843.603580000003</v>
      </c>
      <c r="W69" s="84">
        <f>'[89]Lubricant Cluster 1 Summary'!$W$8</f>
        <v>22109.081873650655</v>
      </c>
      <c r="X69" s="86">
        <v>-1335.8479559683246</v>
      </c>
      <c r="Y69" s="14">
        <f t="shared" si="4"/>
        <v>-0.10246822127655256</v>
      </c>
      <c r="Z69" s="83">
        <f>'[89]Lubricant Cluster 1 Summary'!$AD$8</f>
        <v>4834.9217799999969</v>
      </c>
      <c r="AA69" s="84">
        <f>'[89]Lubricant Cluster 1 Summary'!$AE$8</f>
        <v>538.01422046393895</v>
      </c>
      <c r="AB69" s="86">
        <v>-1335.8479559683246</v>
      </c>
      <c r="AC69" s="19">
        <f t="shared" si="5"/>
        <v>7.986605922480563</v>
      </c>
      <c r="AD69" s="124">
        <f>'[89]Lubricant Cluster 1 Summary'!$AJ$8</f>
        <v>750</v>
      </c>
      <c r="AE69" s="139">
        <f>'[89]Lubricant Cluster 1 Summary'!$AK$8</f>
        <v>0</v>
      </c>
      <c r="AF69" s="108">
        <f t="shared" si="6"/>
        <v>750</v>
      </c>
      <c r="AG69" s="113">
        <v>0</v>
      </c>
      <c r="AH69" s="141">
        <f>'[89]Lubricant Cluster 1 Summary'!$AN$8</f>
        <v>0</v>
      </c>
      <c r="AI69" s="128">
        <f>'[89]Lubricant Cluster 1 Summary'!$AO$8</f>
        <v>0</v>
      </c>
      <c r="AJ69" s="108">
        <f t="shared" si="8"/>
        <v>0</v>
      </c>
      <c r="AK69" s="19">
        <v>0</v>
      </c>
      <c r="AL69" s="144">
        <f>'[89]Lubricant Cluster 1 Summary'!$AR$8</f>
        <v>4084.9217799999969</v>
      </c>
      <c r="AM69" s="133">
        <f>'[89]Lubricant Cluster 1 Summary'!$AS$8</f>
        <v>538.01422046393895</v>
      </c>
      <c r="AN69" s="13">
        <f t="shared" si="9"/>
        <v>3546.9075595360582</v>
      </c>
      <c r="AO69" s="19">
        <f t="shared" si="10"/>
        <v>6.5925907246048228</v>
      </c>
      <c r="AP69" s="120" t="s">
        <v>153</v>
      </c>
      <c r="AQ69" s="43"/>
      <c r="AR69" s="1">
        <f t="shared" si="11"/>
        <v>-1741.6897100000024</v>
      </c>
      <c r="AS69" s="1">
        <f t="shared" si="12"/>
        <v>-1.1368683772161603E-12</v>
      </c>
      <c r="AT69" s="1">
        <f t="shared" si="13"/>
        <v>0</v>
      </c>
      <c r="AU69" s="1">
        <f t="shared" si="14"/>
        <v>0</v>
      </c>
      <c r="AV69" s="85"/>
      <c r="AW69" s="85"/>
      <c r="AX69" s="85"/>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85"/>
      <c r="CM69" s="85"/>
      <c r="CN69" s="85"/>
      <c r="CO69" s="85"/>
      <c r="CP69" s="85"/>
      <c r="CQ69" s="85"/>
      <c r="CR69" s="85"/>
      <c r="CS69" s="85"/>
      <c r="CT69" s="85"/>
      <c r="CU69" s="85"/>
      <c r="CV69" s="85"/>
      <c r="CW69" s="85"/>
      <c r="CX69" s="85"/>
      <c r="CY69" s="85"/>
      <c r="CZ69" s="85"/>
      <c r="DA69" s="85"/>
      <c r="DB69" s="85"/>
      <c r="DC69" s="85"/>
      <c r="DD69" s="85"/>
      <c r="DE69" s="85"/>
      <c r="DF69" s="85"/>
      <c r="DG69" s="85"/>
      <c r="DH69" s="85"/>
      <c r="DI69" s="85"/>
      <c r="DJ69" s="85"/>
      <c r="DK69" s="85"/>
      <c r="DL69" s="85"/>
      <c r="DM69" s="85"/>
      <c r="DN69" s="85"/>
      <c r="DO69" s="85"/>
      <c r="DP69" s="85"/>
      <c r="DQ69" s="85"/>
      <c r="DR69" s="85"/>
      <c r="DS69" s="85"/>
      <c r="DT69" s="85"/>
      <c r="DU69" s="85"/>
      <c r="DV69" s="85"/>
      <c r="DW69" s="85"/>
      <c r="DX69" s="85"/>
      <c r="DY69" s="85"/>
      <c r="DZ69" s="85"/>
      <c r="EA69" s="85"/>
      <c r="EB69" s="85"/>
      <c r="EC69" s="85"/>
      <c r="ED69" s="85"/>
      <c r="EE69" s="85"/>
      <c r="EF69" s="85"/>
      <c r="EG69" s="85"/>
      <c r="EH69" s="85"/>
      <c r="EI69" s="85"/>
      <c r="EJ69" s="85"/>
      <c r="EK69" s="85"/>
      <c r="EL69" s="85"/>
      <c r="EM69" s="85"/>
      <c r="EN69" s="85"/>
      <c r="EO69" s="85"/>
      <c r="EP69" s="85"/>
      <c r="EQ69" s="85"/>
      <c r="ER69" s="85"/>
      <c r="ES69" s="85"/>
      <c r="ET69" s="85"/>
      <c r="EU69" s="85"/>
      <c r="EV69" s="85"/>
      <c r="EW69" s="85"/>
      <c r="EX69" s="85"/>
      <c r="EY69" s="85"/>
      <c r="EZ69" s="85"/>
      <c r="FA69" s="85"/>
      <c r="FB69" s="85"/>
      <c r="FC69" s="85"/>
      <c r="FD69" s="85"/>
      <c r="FE69" s="85"/>
      <c r="FF69" s="85"/>
      <c r="FG69" s="85"/>
      <c r="FH69" s="85"/>
      <c r="FI69" s="85"/>
      <c r="FJ69" s="85"/>
      <c r="FK69" s="85"/>
      <c r="FL69" s="85"/>
      <c r="FM69" s="85"/>
      <c r="FN69" s="85"/>
      <c r="FO69" s="85"/>
      <c r="FP69" s="85"/>
      <c r="FQ69" s="85"/>
      <c r="FR69" s="85"/>
      <c r="FS69" s="85"/>
      <c r="FT69" s="85"/>
      <c r="FU69" s="85"/>
      <c r="FV69" s="85"/>
      <c r="FW69" s="85"/>
      <c r="FX69" s="85"/>
      <c r="FY69" s="85"/>
      <c r="FZ69" s="85"/>
      <c r="GA69" s="85"/>
      <c r="GB69" s="85"/>
      <c r="GC69" s="85"/>
      <c r="GD69" s="85"/>
      <c r="GE69" s="85"/>
      <c r="GF69" s="85"/>
      <c r="GG69" s="85"/>
      <c r="GH69" s="85"/>
      <c r="GI69" s="85"/>
      <c r="GJ69" s="85"/>
      <c r="GK69" s="85"/>
      <c r="GL69" s="85"/>
      <c r="GM69" s="85"/>
      <c r="GN69" s="85"/>
      <c r="GO69" s="85"/>
      <c r="GP69" s="85"/>
      <c r="GQ69" s="85"/>
      <c r="GR69" s="85"/>
      <c r="GS69" s="85"/>
      <c r="GT69" s="85"/>
      <c r="GU69" s="85"/>
      <c r="GV69" s="85"/>
      <c r="GW69" s="85"/>
      <c r="GX69" s="85"/>
      <c r="GY69" s="85"/>
      <c r="GZ69" s="85"/>
      <c r="HA69" s="85"/>
      <c r="HB69" s="85"/>
      <c r="HC69" s="85"/>
      <c r="HD69" s="85"/>
      <c r="HE69" s="85"/>
      <c r="HF69" s="85"/>
      <c r="HG69" s="85"/>
      <c r="HH69" s="85"/>
      <c r="HI69" s="85"/>
      <c r="HJ69" s="85"/>
      <c r="HK69" s="85"/>
      <c r="HL69" s="85"/>
      <c r="HM69" s="85"/>
      <c r="HN69" s="85"/>
      <c r="HO69" s="85"/>
      <c r="HP69" s="85"/>
      <c r="HQ69" s="85"/>
      <c r="HR69" s="85"/>
      <c r="HS69" s="85"/>
      <c r="HT69" s="85"/>
      <c r="HU69" s="85"/>
      <c r="HV69" s="85"/>
      <c r="HW69" s="85"/>
      <c r="HX69" s="85"/>
      <c r="HY69" s="85"/>
      <c r="HZ69" s="85"/>
      <c r="IA69" s="85"/>
      <c r="IB69" s="85"/>
      <c r="IC69" s="85"/>
      <c r="ID69" s="85"/>
      <c r="IE69" s="85"/>
      <c r="IF69" s="85"/>
      <c r="IG69" s="85"/>
      <c r="IH69" s="85"/>
      <c r="II69" s="85"/>
      <c r="IJ69" s="85"/>
      <c r="IK69" s="85"/>
      <c r="IL69" s="85"/>
      <c r="IM69" s="85"/>
      <c r="IN69" s="85"/>
      <c r="IO69" s="85"/>
      <c r="IP69" s="85"/>
      <c r="IQ69" s="85"/>
      <c r="IR69" s="85"/>
      <c r="IS69" s="85"/>
      <c r="IT69" s="85"/>
      <c r="IU69" s="85"/>
      <c r="IV69" s="85"/>
      <c r="IW69" s="85"/>
      <c r="IX69" s="85"/>
      <c r="IY69" s="85"/>
    </row>
    <row r="70" spans="1:731" ht="15" customHeight="1" thickBot="1" x14ac:dyDescent="0.35">
      <c r="A70" s="371"/>
      <c r="B70" s="398"/>
      <c r="C70" s="78"/>
      <c r="D70" s="21" t="s">
        <v>13</v>
      </c>
      <c r="E70" s="375" t="s">
        <v>79</v>
      </c>
      <c r="F70" s="105">
        <f t="shared" si="75"/>
        <v>0</v>
      </c>
      <c r="G70" s="58">
        <f t="shared" si="76"/>
        <v>0</v>
      </c>
      <c r="H70" s="52">
        <v>0</v>
      </c>
      <c r="I70" s="14" t="str">
        <f t="shared" si="1"/>
        <v/>
      </c>
      <c r="J70" s="15">
        <v>0</v>
      </c>
      <c r="K70" s="16">
        <v>0</v>
      </c>
      <c r="L70" s="52">
        <f t="shared" si="77"/>
        <v>0</v>
      </c>
      <c r="M70" s="14" t="str">
        <f t="shared" si="21"/>
        <v/>
      </c>
      <c r="N70" s="15">
        <v>0</v>
      </c>
      <c r="O70" s="16">
        <v>0</v>
      </c>
      <c r="P70" s="52">
        <f t="shared" si="66"/>
        <v>0</v>
      </c>
      <c r="Q70" s="14" t="str">
        <f t="shared" si="2"/>
        <v/>
      </c>
      <c r="R70" s="83">
        <v>0</v>
      </c>
      <c r="S70" s="82">
        <v>0</v>
      </c>
      <c r="T70" s="52">
        <v>0</v>
      </c>
      <c r="U70" s="14">
        <v>0</v>
      </c>
      <c r="V70" s="83">
        <v>0</v>
      </c>
      <c r="W70" s="82">
        <v>0</v>
      </c>
      <c r="X70" s="52">
        <v>0</v>
      </c>
      <c r="Y70" s="14">
        <v>0</v>
      </c>
      <c r="Z70" s="83">
        <v>0</v>
      </c>
      <c r="AA70" s="16">
        <v>0</v>
      </c>
      <c r="AB70" s="52">
        <v>0</v>
      </c>
      <c r="AC70" s="19">
        <v>0</v>
      </c>
      <c r="AD70" s="126">
        <v>0</v>
      </c>
      <c r="AE70" s="139">
        <v>0</v>
      </c>
      <c r="AF70" s="108">
        <f t="shared" si="6"/>
        <v>0</v>
      </c>
      <c r="AG70" s="113">
        <v>0</v>
      </c>
      <c r="AH70" s="141">
        <v>0</v>
      </c>
      <c r="AI70" s="128">
        <v>0</v>
      </c>
      <c r="AJ70" s="108">
        <f t="shared" si="8"/>
        <v>0</v>
      </c>
      <c r="AK70" s="19">
        <v>0</v>
      </c>
      <c r="AL70" s="141">
        <v>0</v>
      </c>
      <c r="AM70" s="135">
        <v>0</v>
      </c>
      <c r="AN70" s="13">
        <f t="shared" si="9"/>
        <v>0</v>
      </c>
      <c r="AO70" s="19">
        <v>0</v>
      </c>
      <c r="AP70" s="320" t="s">
        <v>149</v>
      </c>
      <c r="AQ70" s="43"/>
      <c r="AR70" s="1">
        <f t="shared" si="11"/>
        <v>0</v>
      </c>
      <c r="AS70" s="1">
        <f t="shared" si="12"/>
        <v>0</v>
      </c>
      <c r="AT70" s="1">
        <f t="shared" si="13"/>
        <v>0</v>
      </c>
      <c r="AU70" s="1">
        <f t="shared" si="14"/>
        <v>0</v>
      </c>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22"/>
      <c r="GQ70" s="22"/>
      <c r="GR70" s="22"/>
      <c r="GS70" s="22"/>
      <c r="GT70" s="22"/>
      <c r="GU70" s="22"/>
      <c r="GV70" s="22"/>
      <c r="GW70" s="22"/>
      <c r="GX70" s="22"/>
      <c r="GY70" s="22"/>
      <c r="GZ70" s="22"/>
      <c r="HA70" s="22"/>
      <c r="HB70" s="22"/>
      <c r="HC70" s="22"/>
      <c r="HD70" s="22"/>
      <c r="HE70" s="22"/>
      <c r="HF70" s="22"/>
      <c r="HG70" s="22"/>
      <c r="HH70" s="22"/>
      <c r="HI70" s="22"/>
      <c r="HJ70" s="22"/>
      <c r="HK70" s="22"/>
      <c r="HL70" s="22"/>
      <c r="HM70" s="22"/>
      <c r="HN70" s="22"/>
      <c r="HO70" s="22"/>
      <c r="HP70" s="22"/>
      <c r="HQ70" s="22"/>
      <c r="HR70" s="22"/>
      <c r="HS70" s="22"/>
      <c r="HT70" s="22"/>
      <c r="HU70" s="22"/>
      <c r="HV70" s="22"/>
      <c r="HW70" s="22"/>
      <c r="HX70" s="22"/>
      <c r="HY70" s="22"/>
      <c r="HZ70" s="22"/>
      <c r="IA70" s="22"/>
      <c r="IB70" s="22"/>
      <c r="IC70" s="22"/>
      <c r="ID70" s="22"/>
      <c r="IE70" s="22"/>
      <c r="IF70" s="22"/>
      <c r="IG70" s="22"/>
      <c r="IH70" s="22"/>
      <c r="II70" s="22"/>
      <c r="IJ70" s="22"/>
      <c r="IK70" s="22"/>
      <c r="IL70" s="22"/>
      <c r="IM70" s="22"/>
      <c r="IN70" s="22"/>
      <c r="IO70" s="22"/>
      <c r="IP70" s="22"/>
      <c r="IQ70" s="22"/>
      <c r="IR70" s="22"/>
      <c r="IS70" s="22"/>
      <c r="IT70" s="22"/>
      <c r="IU70" s="22"/>
      <c r="IV70" s="22"/>
      <c r="IW70" s="22"/>
      <c r="IX70" s="22"/>
      <c r="IY70" s="22"/>
      <c r="IZ70" s="22"/>
      <c r="JA70" s="22"/>
      <c r="JB70" s="22"/>
      <c r="JC70" s="22"/>
      <c r="JD70" s="22"/>
      <c r="JE70" s="22"/>
      <c r="JJ70" s="22"/>
      <c r="JK70" s="22"/>
      <c r="JL70" s="22"/>
      <c r="JM70" s="22"/>
      <c r="JN70" s="22"/>
      <c r="JO70" s="22"/>
      <c r="JP70" s="22"/>
      <c r="JQ70" s="22"/>
      <c r="JR70" s="22"/>
      <c r="JS70" s="22"/>
      <c r="JT70" s="22"/>
      <c r="JU70" s="22"/>
      <c r="JV70" s="22"/>
      <c r="JW70" s="22"/>
      <c r="JX70" s="22"/>
      <c r="JY70" s="22"/>
      <c r="JZ70" s="22"/>
      <c r="KA70" s="22"/>
      <c r="KB70" s="22"/>
      <c r="KC70" s="22"/>
      <c r="KD70" s="22"/>
      <c r="KE70" s="22"/>
      <c r="KF70" s="22"/>
      <c r="KG70" s="22"/>
      <c r="KH70" s="22"/>
      <c r="KI70" s="22"/>
      <c r="KJ70" s="22"/>
      <c r="KK70" s="22"/>
      <c r="KL70" s="22"/>
      <c r="KM70" s="22"/>
      <c r="KN70" s="22"/>
      <c r="KO70" s="22"/>
      <c r="KP70" s="22"/>
      <c r="KQ70" s="22"/>
      <c r="KR70" s="22"/>
      <c r="KS70" s="22"/>
      <c r="KT70" s="22"/>
      <c r="KU70" s="22"/>
      <c r="KV70" s="22"/>
      <c r="KW70" s="22"/>
      <c r="KX70" s="22"/>
      <c r="KY70" s="22"/>
      <c r="KZ70" s="22"/>
      <c r="LA70" s="22"/>
      <c r="LB70" s="22"/>
      <c r="LC70" s="22"/>
      <c r="LD70" s="22"/>
      <c r="LE70" s="22"/>
      <c r="LF70" s="22"/>
      <c r="LG70" s="22"/>
      <c r="LH70" s="22"/>
      <c r="LI70" s="22"/>
      <c r="LJ70" s="22"/>
      <c r="LK70" s="22"/>
      <c r="LL70" s="22"/>
      <c r="LM70" s="22"/>
      <c r="LN70" s="22"/>
      <c r="LO70" s="22"/>
      <c r="LP70" s="22"/>
      <c r="LQ70" s="22"/>
      <c r="LR70" s="22"/>
      <c r="LS70" s="22"/>
      <c r="LT70" s="22"/>
      <c r="LU70" s="22"/>
      <c r="LV70" s="22"/>
      <c r="LW70" s="22"/>
      <c r="LX70" s="22"/>
      <c r="LY70" s="22"/>
      <c r="LZ70" s="22"/>
      <c r="MA70" s="22"/>
      <c r="MB70" s="22"/>
      <c r="MC70" s="22"/>
      <c r="MD70" s="22"/>
      <c r="ME70" s="22"/>
      <c r="MF70" s="22"/>
      <c r="MG70" s="22"/>
      <c r="MH70" s="22"/>
      <c r="MI70" s="22"/>
      <c r="MJ70" s="22"/>
      <c r="MK70" s="22"/>
      <c r="ML70" s="22"/>
      <c r="MM70" s="22"/>
      <c r="MN70" s="22"/>
      <c r="MO70" s="22"/>
      <c r="MP70" s="22"/>
      <c r="MQ70" s="22"/>
      <c r="MR70" s="22"/>
      <c r="MS70" s="22"/>
      <c r="MT70" s="22"/>
      <c r="MU70" s="22"/>
      <c r="MV70" s="22"/>
      <c r="MW70" s="22"/>
      <c r="MX70" s="22"/>
      <c r="MY70" s="22"/>
      <c r="MZ70" s="22"/>
      <c r="NA70" s="22"/>
      <c r="NB70" s="22"/>
      <c r="NC70" s="22"/>
      <c r="ND70" s="22"/>
      <c r="NE70" s="22"/>
      <c r="NF70" s="22"/>
      <c r="NG70" s="22"/>
      <c r="NH70" s="22"/>
      <c r="NI70" s="22"/>
      <c r="NJ70" s="22"/>
      <c r="NK70" s="22"/>
      <c r="NL70" s="22"/>
      <c r="NM70" s="22"/>
      <c r="NN70" s="22"/>
      <c r="NO70" s="22"/>
      <c r="NP70" s="22"/>
      <c r="NQ70" s="22"/>
      <c r="NR70" s="22"/>
      <c r="NS70" s="22"/>
      <c r="NT70" s="22"/>
      <c r="NU70" s="22"/>
      <c r="NV70" s="22"/>
      <c r="NW70" s="22"/>
      <c r="NX70" s="22"/>
      <c r="NY70" s="22"/>
      <c r="NZ70" s="22"/>
      <c r="OA70" s="22"/>
      <c r="OB70" s="22"/>
      <c r="OC70" s="22"/>
      <c r="OD70" s="22"/>
      <c r="OE70" s="22"/>
      <c r="OF70" s="22"/>
      <c r="OG70" s="22"/>
      <c r="OH70" s="22"/>
      <c r="OI70" s="22"/>
      <c r="OJ70" s="22"/>
      <c r="OK70" s="22"/>
      <c r="OL70" s="22"/>
      <c r="OM70" s="22"/>
      <c r="ON70" s="22"/>
      <c r="OO70" s="22"/>
      <c r="OP70" s="22"/>
      <c r="OQ70" s="22"/>
      <c r="OR70" s="22"/>
      <c r="OS70" s="22"/>
      <c r="OT70" s="22"/>
      <c r="OU70" s="22"/>
      <c r="OV70" s="22"/>
      <c r="OW70" s="22"/>
      <c r="OX70" s="22"/>
      <c r="OY70" s="22"/>
      <c r="OZ70" s="22"/>
      <c r="PA70" s="22"/>
      <c r="PB70" s="22"/>
      <c r="PC70" s="22"/>
      <c r="PD70" s="22"/>
      <c r="PE70" s="22"/>
      <c r="PF70" s="22"/>
      <c r="PG70" s="22"/>
      <c r="PH70" s="22"/>
      <c r="PI70" s="22"/>
      <c r="PJ70" s="22"/>
      <c r="PK70" s="22"/>
      <c r="PL70" s="22"/>
      <c r="PM70" s="22"/>
      <c r="PN70" s="22"/>
      <c r="PO70" s="22"/>
      <c r="PP70" s="22"/>
      <c r="PQ70" s="22"/>
      <c r="PR70" s="22"/>
      <c r="PS70" s="22"/>
      <c r="PT70" s="22"/>
      <c r="PU70" s="22"/>
      <c r="PV70" s="22"/>
      <c r="PW70" s="22"/>
      <c r="PX70" s="22"/>
      <c r="PY70" s="22"/>
      <c r="PZ70" s="22"/>
      <c r="QA70" s="22"/>
      <c r="QB70" s="22"/>
      <c r="QC70" s="22"/>
      <c r="QD70" s="22"/>
      <c r="QE70" s="22"/>
      <c r="QF70" s="22"/>
      <c r="QG70" s="22"/>
      <c r="QH70" s="22"/>
      <c r="QI70" s="22"/>
      <c r="QJ70" s="22"/>
      <c r="QK70" s="22"/>
      <c r="QL70" s="22"/>
      <c r="QM70" s="22"/>
      <c r="QN70" s="22"/>
      <c r="QO70" s="22"/>
      <c r="QP70" s="22"/>
      <c r="QQ70" s="22"/>
      <c r="QR70" s="22"/>
      <c r="QS70" s="22"/>
      <c r="QT70" s="22"/>
      <c r="QU70" s="22"/>
      <c r="QV70" s="22"/>
      <c r="QW70" s="22"/>
      <c r="QX70" s="22"/>
      <c r="QY70" s="22"/>
      <c r="QZ70" s="22"/>
      <c r="RA70" s="22"/>
      <c r="RB70" s="22"/>
      <c r="RC70" s="22"/>
      <c r="RD70" s="22"/>
      <c r="RE70" s="22"/>
      <c r="RF70" s="22"/>
      <c r="RG70" s="22"/>
      <c r="RH70" s="22"/>
      <c r="RI70" s="22"/>
      <c r="RJ70" s="22"/>
      <c r="RK70" s="22"/>
      <c r="RL70" s="22"/>
      <c r="RM70" s="22"/>
      <c r="RN70" s="22"/>
      <c r="RO70" s="22"/>
      <c r="RP70" s="22"/>
      <c r="RQ70" s="22"/>
      <c r="RR70" s="22"/>
      <c r="RS70" s="22"/>
      <c r="RT70" s="22"/>
      <c r="RU70" s="22"/>
      <c r="RV70" s="22"/>
      <c r="RW70" s="22"/>
      <c r="RX70" s="22"/>
      <c r="RY70" s="22"/>
      <c r="RZ70" s="22"/>
      <c r="SA70" s="22"/>
      <c r="SB70" s="22"/>
      <c r="SC70" s="22"/>
      <c r="SD70" s="22"/>
      <c r="SE70" s="22"/>
      <c r="SF70" s="22"/>
      <c r="SG70" s="22"/>
      <c r="SH70" s="22"/>
      <c r="SI70" s="22"/>
      <c r="SJ70" s="22"/>
      <c r="SK70" s="22"/>
      <c r="SL70" s="22"/>
      <c r="SM70" s="22"/>
      <c r="SN70" s="22"/>
      <c r="SO70" s="22"/>
      <c r="SP70" s="22"/>
      <c r="SQ70" s="22"/>
      <c r="SR70" s="22"/>
      <c r="SS70" s="22"/>
      <c r="ST70" s="22"/>
      <c r="SU70" s="22"/>
      <c r="SV70" s="22"/>
      <c r="SW70" s="22"/>
      <c r="SX70" s="22"/>
      <c r="SY70" s="22"/>
      <c r="SZ70" s="22"/>
      <c r="TA70" s="22"/>
      <c r="TB70" s="22"/>
      <c r="TC70" s="22"/>
      <c r="TD70" s="22"/>
      <c r="TE70" s="22"/>
      <c r="TF70" s="22"/>
      <c r="TG70" s="22"/>
      <c r="TH70" s="22"/>
      <c r="TI70" s="22"/>
      <c r="TJ70" s="22"/>
      <c r="TK70" s="22"/>
      <c r="TL70" s="22"/>
      <c r="TM70" s="22"/>
      <c r="TN70" s="22"/>
      <c r="TO70" s="22"/>
      <c r="TP70" s="22"/>
      <c r="TQ70" s="22"/>
      <c r="TR70" s="22"/>
      <c r="TS70" s="22"/>
      <c r="TT70" s="22"/>
      <c r="TU70" s="22"/>
      <c r="TV70" s="22"/>
      <c r="TW70" s="22"/>
      <c r="TX70" s="22"/>
      <c r="TY70" s="22"/>
      <c r="TZ70" s="22"/>
      <c r="UA70" s="22"/>
      <c r="UB70" s="22"/>
      <c r="UC70" s="22"/>
      <c r="UD70" s="22"/>
      <c r="UE70" s="22"/>
      <c r="UF70" s="22"/>
      <c r="UG70" s="22"/>
      <c r="UH70" s="22"/>
      <c r="UI70" s="22"/>
      <c r="UJ70" s="22"/>
      <c r="UK70" s="22"/>
      <c r="UL70" s="22"/>
      <c r="UM70" s="22"/>
      <c r="UN70" s="22"/>
      <c r="UO70" s="22"/>
      <c r="UP70" s="22"/>
      <c r="UQ70" s="22"/>
      <c r="UR70" s="22"/>
      <c r="US70" s="22"/>
      <c r="UT70" s="22"/>
      <c r="UU70" s="22"/>
      <c r="UV70" s="22"/>
      <c r="UW70" s="22"/>
      <c r="UX70" s="22"/>
      <c r="UY70" s="22"/>
      <c r="UZ70" s="22"/>
      <c r="VA70" s="22"/>
      <c r="VB70" s="22"/>
      <c r="VC70" s="22"/>
      <c r="VD70" s="22"/>
      <c r="VE70" s="22"/>
      <c r="VF70" s="22"/>
      <c r="VG70" s="22"/>
      <c r="VH70" s="22"/>
      <c r="VI70" s="22"/>
      <c r="VJ70" s="22"/>
      <c r="VK70" s="22"/>
      <c r="VL70" s="22"/>
      <c r="VM70" s="22"/>
      <c r="VN70" s="22"/>
      <c r="VO70" s="22"/>
      <c r="VP70" s="22"/>
      <c r="VQ70" s="22"/>
      <c r="VR70" s="22"/>
      <c r="VS70" s="22"/>
      <c r="VT70" s="22"/>
      <c r="VU70" s="22"/>
      <c r="VV70" s="22"/>
      <c r="VW70" s="22"/>
      <c r="VX70" s="22"/>
      <c r="VY70" s="22"/>
      <c r="VZ70" s="22"/>
      <c r="WA70" s="22"/>
      <c r="WB70" s="22"/>
      <c r="WC70" s="22"/>
      <c r="WD70" s="22"/>
      <c r="WE70" s="22"/>
      <c r="WF70" s="22"/>
      <c r="WG70" s="22"/>
      <c r="WH70" s="22"/>
      <c r="WI70" s="22"/>
      <c r="WJ70" s="22"/>
      <c r="WK70" s="22"/>
      <c r="WL70" s="22"/>
      <c r="WM70" s="22"/>
      <c r="WN70" s="22"/>
      <c r="WO70" s="22"/>
      <c r="WP70" s="22"/>
      <c r="WQ70" s="22"/>
      <c r="WR70" s="22"/>
      <c r="WS70" s="22"/>
      <c r="WT70" s="22"/>
      <c r="WU70" s="22"/>
      <c r="WV70" s="22"/>
      <c r="WW70" s="22"/>
      <c r="WX70" s="22"/>
      <c r="WY70" s="22"/>
      <c r="WZ70" s="22"/>
      <c r="XA70" s="22"/>
      <c r="XB70" s="22"/>
      <c r="XC70" s="22"/>
      <c r="XD70" s="22"/>
      <c r="XE70" s="22"/>
      <c r="XF70" s="22"/>
      <c r="XG70" s="22"/>
      <c r="XH70" s="22"/>
      <c r="XI70" s="22"/>
      <c r="XJ70" s="22"/>
      <c r="XK70" s="22"/>
      <c r="XL70" s="22"/>
      <c r="XM70" s="22"/>
      <c r="XN70" s="22"/>
      <c r="XO70" s="22"/>
      <c r="XP70" s="22"/>
      <c r="XQ70" s="22"/>
      <c r="XR70" s="22"/>
      <c r="XS70" s="22"/>
      <c r="XT70" s="22"/>
      <c r="XU70" s="22"/>
      <c r="XV70" s="22"/>
      <c r="XW70" s="22"/>
      <c r="XX70" s="22"/>
      <c r="XY70" s="22"/>
      <c r="XZ70" s="22"/>
      <c r="YA70" s="22"/>
      <c r="YB70" s="22"/>
      <c r="YC70" s="22"/>
      <c r="YD70" s="22"/>
      <c r="YE70" s="22"/>
      <c r="YF70" s="22"/>
      <c r="YG70" s="22"/>
      <c r="YH70" s="22"/>
      <c r="YI70" s="22"/>
      <c r="YJ70" s="22"/>
      <c r="YK70" s="22"/>
      <c r="YL70" s="22"/>
      <c r="YM70" s="22"/>
      <c r="YN70" s="22"/>
      <c r="YO70" s="22"/>
      <c r="YP70" s="22"/>
      <c r="YQ70" s="22"/>
      <c r="YR70" s="22"/>
      <c r="YS70" s="22"/>
      <c r="YT70" s="22"/>
      <c r="YU70" s="22"/>
      <c r="YV70" s="22"/>
      <c r="YW70" s="22"/>
      <c r="YX70" s="22"/>
      <c r="YY70" s="22"/>
      <c r="YZ70" s="22"/>
      <c r="ZA70" s="22"/>
      <c r="ZB70" s="22"/>
      <c r="ZC70" s="22"/>
      <c r="ZD70" s="22"/>
      <c r="ZE70" s="22"/>
      <c r="ZF70" s="22"/>
      <c r="ZG70" s="22"/>
      <c r="ZH70" s="22"/>
      <c r="ZI70" s="22"/>
      <c r="ZJ70" s="22"/>
      <c r="ZK70" s="22"/>
      <c r="ZL70" s="22"/>
      <c r="ZM70" s="22"/>
      <c r="ZN70" s="22"/>
      <c r="ZO70" s="22"/>
      <c r="ZP70" s="22"/>
      <c r="ZQ70" s="22"/>
      <c r="ZR70" s="22"/>
      <c r="ZS70" s="22"/>
      <c r="ZT70" s="22"/>
      <c r="ZU70" s="22"/>
      <c r="ZV70" s="22"/>
      <c r="ZW70" s="22"/>
      <c r="ZX70" s="22"/>
      <c r="ZY70" s="22"/>
      <c r="ZZ70" s="22"/>
      <c r="AAA70" s="22"/>
      <c r="AAB70" s="22"/>
      <c r="AAC70" s="22"/>
      <c r="AAD70" s="22"/>
      <c r="AAE70" s="22"/>
      <c r="AAF70" s="22"/>
      <c r="AAG70" s="22"/>
      <c r="AAH70" s="22"/>
      <c r="AAI70" s="22"/>
      <c r="AAJ70" s="22"/>
      <c r="AAK70" s="22"/>
      <c r="AAL70" s="22"/>
      <c r="AAM70" s="22"/>
      <c r="AAN70" s="22"/>
      <c r="AAO70" s="22"/>
      <c r="AAP70" s="22"/>
      <c r="AAQ70" s="22"/>
      <c r="AAR70" s="22"/>
      <c r="AAS70" s="22"/>
      <c r="AAT70" s="22"/>
      <c r="AAU70" s="22"/>
      <c r="AAV70" s="22"/>
      <c r="AAW70" s="22"/>
      <c r="AAX70" s="22"/>
      <c r="AAY70" s="22"/>
      <c r="AAZ70" s="22"/>
      <c r="ABA70" s="22"/>
      <c r="ABB70" s="22"/>
      <c r="ABC70" s="22"/>
    </row>
    <row r="71" spans="1:731" s="61" customFormat="1" ht="15" customHeight="1" thickBot="1" x14ac:dyDescent="0.35">
      <c r="A71" s="341"/>
      <c r="B71" s="398"/>
      <c r="C71" s="77"/>
      <c r="D71" s="104"/>
      <c r="E71" s="377" t="s">
        <v>111</v>
      </c>
      <c r="F71" s="216">
        <f>SUM(F66:F70)</f>
        <v>3533.0333037046466</v>
      </c>
      <c r="G71" s="216">
        <f>SUM(G66:G70)</f>
        <v>4790.2135923077594</v>
      </c>
      <c r="H71" s="217">
        <f>F71-G71</f>
        <v>-1257.1802886031128</v>
      </c>
      <c r="I71" s="218">
        <f>F71/G71-1</f>
        <v>-0.26244764755833083</v>
      </c>
      <c r="J71" s="216">
        <f>SUM(J66:J70)</f>
        <v>1054720.6532000001</v>
      </c>
      <c r="K71" s="216">
        <f>SUM(K66:K70)</f>
        <v>1430028.1867562954</v>
      </c>
      <c r="L71" s="217">
        <f>J71-K71</f>
        <v>-375307.53355629533</v>
      </c>
      <c r="M71" s="218">
        <f>J71/K71-1</f>
        <v>-0.26244764755833094</v>
      </c>
      <c r="N71" s="216">
        <f>SUM(N66:N70)</f>
        <v>240239.32187761168</v>
      </c>
      <c r="O71" s="216">
        <f>SUM(O66:O70)</f>
        <v>395692.79006613925</v>
      </c>
      <c r="P71" s="217">
        <f>N71-O71</f>
        <v>-155453.46818852756</v>
      </c>
      <c r="Q71" s="218">
        <f>N71/O71-1</f>
        <v>-0.39286404021297394</v>
      </c>
      <c r="R71" s="216">
        <f>SUM(R66:R70)</f>
        <v>1385.219194</v>
      </c>
      <c r="S71" s="216">
        <f>SUM(S66:S70)</f>
        <v>0</v>
      </c>
      <c r="T71" s="217">
        <f>R71-S71</f>
        <v>1385.219194</v>
      </c>
      <c r="U71" s="218" t="e">
        <f>R71/S71-1</f>
        <v>#DIV/0!</v>
      </c>
      <c r="V71" s="216">
        <f>SUM(V66:V70)</f>
        <v>278258.83521360822</v>
      </c>
      <c r="W71" s="216">
        <f>SUM(W66:W70)</f>
        <v>283664.39560525503</v>
      </c>
      <c r="X71" s="217">
        <f>V71-W71</f>
        <v>-5405.5603916468099</v>
      </c>
      <c r="Y71" s="218">
        <f>V71/W71-1</f>
        <v>-1.9056182148319833E-2</v>
      </c>
      <c r="Z71" s="216">
        <f>SUM(Z66:Z70)</f>
        <v>29819.131116003435</v>
      </c>
      <c r="AA71" s="216">
        <f>SUM(AA66:AA70)</f>
        <v>112028.3944608842</v>
      </c>
      <c r="AB71" s="217">
        <f>Z71-AA71</f>
        <v>-82209.263344880761</v>
      </c>
      <c r="AC71" s="218">
        <f>Z71/AA71-1</f>
        <v>-0.73382523904316888</v>
      </c>
      <c r="AD71" s="219">
        <f>SUM(AD66:AD70)</f>
        <v>13633.434745397024</v>
      </c>
      <c r="AE71" s="219">
        <f>SUM(AE66:AE70)</f>
        <v>7399.1992335717177</v>
      </c>
      <c r="AF71" s="115">
        <f t="shared" si="6"/>
        <v>6234.2355118253063</v>
      </c>
      <c r="AG71" s="220">
        <f>IFERROR(IF(AE71&lt;0,-(AD71-AE71)/AE71,(AD71-AE71)/AE71),"")</f>
        <v>0.84255543269321265</v>
      </c>
      <c r="AH71" s="219">
        <f>SUM(AH66:AH70)</f>
        <v>16613.514725308181</v>
      </c>
      <c r="AI71" s="192">
        <f>AI70</f>
        <v>0</v>
      </c>
      <c r="AJ71" s="114"/>
      <c r="AK71" s="172"/>
      <c r="AL71" s="216">
        <f>SUM(AL66:AL70)</f>
        <v>32799.211095914594</v>
      </c>
      <c r="AM71" s="216">
        <f>SUM(AM66:AM70)</f>
        <v>104629.19522731249</v>
      </c>
      <c r="AN71" s="217">
        <f>AL71-AM71</f>
        <v>-71829.984131397898</v>
      </c>
      <c r="AO71" s="218">
        <f>AL71/AM71-1</f>
        <v>-0.68651951279318779</v>
      </c>
      <c r="AP71" s="342"/>
      <c r="AQ71" s="55"/>
      <c r="AR71" s="289"/>
      <c r="AS71" s="289"/>
      <c r="AT71" s="289"/>
      <c r="AU71" s="289"/>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c r="CM71" s="55"/>
      <c r="CN71" s="55"/>
      <c r="CO71" s="55"/>
      <c r="CP71" s="55"/>
      <c r="CQ71" s="55"/>
      <c r="CR71" s="55"/>
      <c r="CS71" s="55"/>
      <c r="CT71" s="55"/>
      <c r="CU71" s="55"/>
      <c r="CV71" s="55"/>
      <c r="CW71" s="55"/>
      <c r="CX71" s="55"/>
      <c r="CY71" s="55"/>
      <c r="CZ71" s="55"/>
      <c r="DA71" s="55"/>
      <c r="DB71" s="55"/>
      <c r="DC71" s="55"/>
      <c r="DD71" s="55"/>
      <c r="DE71" s="55"/>
      <c r="DF71" s="55"/>
      <c r="DG71" s="55"/>
      <c r="DH71" s="55"/>
      <c r="DI71" s="55"/>
      <c r="DJ71" s="55"/>
      <c r="DK71" s="55"/>
      <c r="DL71" s="55"/>
      <c r="DM71" s="55"/>
      <c r="DN71" s="55"/>
      <c r="DO71" s="55"/>
      <c r="DP71" s="55"/>
      <c r="DQ71" s="55"/>
      <c r="DR71" s="55"/>
      <c r="DS71" s="55"/>
      <c r="DT71" s="55"/>
      <c r="DU71" s="55"/>
      <c r="DV71" s="55"/>
      <c r="DW71" s="55"/>
      <c r="DX71" s="55"/>
      <c r="DY71" s="55"/>
      <c r="DZ71" s="55"/>
      <c r="EA71" s="55"/>
      <c r="EB71" s="55"/>
      <c r="EC71" s="55"/>
      <c r="ED71" s="55"/>
      <c r="EE71" s="55"/>
      <c r="EF71" s="55"/>
      <c r="EG71" s="55"/>
      <c r="EH71" s="55"/>
      <c r="EI71" s="55"/>
      <c r="EJ71" s="55"/>
      <c r="EK71" s="55"/>
      <c r="EL71" s="55"/>
      <c r="EM71" s="55"/>
      <c r="EN71" s="55"/>
      <c r="EO71" s="55"/>
      <c r="EP71" s="55"/>
      <c r="EQ71" s="55"/>
      <c r="ER71" s="55"/>
      <c r="ES71" s="55"/>
      <c r="ET71" s="55"/>
      <c r="EU71" s="55"/>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c r="HA71" s="55"/>
      <c r="HB71" s="55"/>
      <c r="HC71" s="55"/>
      <c r="HD71" s="55"/>
      <c r="HE71" s="55"/>
      <c r="HF71" s="55"/>
      <c r="HG71" s="55"/>
      <c r="HH71" s="55"/>
      <c r="HI71" s="55"/>
      <c r="HJ71" s="55"/>
      <c r="HK71" s="55"/>
      <c r="HL71" s="55"/>
      <c r="HM71" s="55"/>
      <c r="HN71" s="55"/>
      <c r="HO71" s="55"/>
      <c r="HP71" s="55"/>
      <c r="HQ71" s="55"/>
      <c r="HR71" s="55"/>
      <c r="HS71" s="55"/>
      <c r="HT71" s="55"/>
      <c r="HU71" s="55"/>
      <c r="HV71" s="55"/>
      <c r="HW71" s="55"/>
      <c r="HX71" s="55"/>
      <c r="HY71" s="55"/>
      <c r="HZ71" s="55"/>
      <c r="IA71" s="55"/>
      <c r="IB71" s="55"/>
      <c r="IC71" s="55"/>
      <c r="ID71" s="55"/>
      <c r="IE71" s="55"/>
      <c r="IF71" s="55"/>
      <c r="IG71" s="55"/>
      <c r="IH71" s="55"/>
      <c r="II71" s="55"/>
      <c r="IJ71" s="55"/>
      <c r="IK71" s="55"/>
      <c r="IL71" s="55"/>
      <c r="IM71" s="55"/>
      <c r="IN71" s="55"/>
      <c r="IO71" s="55"/>
      <c r="IP71" s="55"/>
      <c r="IQ71" s="55"/>
      <c r="IR71" s="55"/>
      <c r="IS71" s="55"/>
      <c r="IT71" s="55"/>
      <c r="IU71" s="55"/>
      <c r="IV71" s="55"/>
      <c r="IW71" s="55"/>
      <c r="IX71" s="55"/>
      <c r="IY71" s="55"/>
      <c r="IZ71" s="55"/>
      <c r="JA71" s="55"/>
      <c r="JB71" s="55"/>
      <c r="JC71" s="55"/>
      <c r="JD71" s="55"/>
      <c r="JE71" s="55"/>
      <c r="JJ71" s="55"/>
      <c r="JK71" s="55"/>
      <c r="JL71" s="55"/>
      <c r="JM71" s="55"/>
      <c r="JN71" s="55"/>
      <c r="JO71" s="55"/>
      <c r="JP71" s="55"/>
      <c r="JQ71" s="55"/>
      <c r="JR71" s="55"/>
      <c r="JS71" s="55"/>
      <c r="JT71" s="55"/>
      <c r="JU71" s="55"/>
      <c r="JV71" s="55"/>
      <c r="JW71" s="55"/>
      <c r="JX71" s="55"/>
      <c r="JY71" s="55"/>
      <c r="JZ71" s="55"/>
      <c r="KA71" s="55"/>
      <c r="KB71" s="55"/>
      <c r="KC71" s="55"/>
      <c r="KD71" s="55"/>
      <c r="KE71" s="55"/>
      <c r="KF71" s="55"/>
      <c r="KG71" s="55"/>
      <c r="KH71" s="55"/>
      <c r="KI71" s="55"/>
      <c r="KJ71" s="55"/>
      <c r="KK71" s="55"/>
      <c r="KL71" s="55"/>
      <c r="KM71" s="55"/>
      <c r="KN71" s="55"/>
      <c r="KO71" s="55"/>
      <c r="KP71" s="55"/>
      <c r="KQ71" s="55"/>
      <c r="KR71" s="55"/>
      <c r="KS71" s="55"/>
      <c r="KT71" s="55"/>
      <c r="KU71" s="55"/>
      <c r="KV71" s="55"/>
      <c r="KW71" s="55"/>
      <c r="KX71" s="55"/>
      <c r="KY71" s="55"/>
      <c r="KZ71" s="55"/>
      <c r="LA71" s="55"/>
      <c r="LB71" s="55"/>
      <c r="LC71" s="55"/>
      <c r="LD71" s="55"/>
      <c r="LE71" s="55"/>
      <c r="LF71" s="55"/>
      <c r="LG71" s="55"/>
      <c r="LH71" s="55"/>
      <c r="LI71" s="55"/>
      <c r="LJ71" s="55"/>
      <c r="LK71" s="55"/>
      <c r="LL71" s="55"/>
      <c r="LM71" s="55"/>
      <c r="LN71" s="55"/>
      <c r="LO71" s="55"/>
      <c r="LP71" s="55"/>
      <c r="LQ71" s="55"/>
      <c r="LR71" s="55"/>
      <c r="LS71" s="55"/>
      <c r="LT71" s="55"/>
      <c r="LU71" s="55"/>
      <c r="LV71" s="55"/>
      <c r="LW71" s="55"/>
      <c r="LX71" s="55"/>
      <c r="LY71" s="55"/>
      <c r="LZ71" s="55"/>
      <c r="MA71" s="55"/>
      <c r="MB71" s="55"/>
      <c r="MC71" s="55"/>
      <c r="MD71" s="55"/>
      <c r="ME71" s="55"/>
      <c r="MF71" s="55"/>
      <c r="MG71" s="55"/>
      <c r="MH71" s="55"/>
      <c r="MI71" s="55"/>
      <c r="MJ71" s="55"/>
      <c r="MK71" s="55"/>
      <c r="ML71" s="55"/>
      <c r="MM71" s="55"/>
      <c r="MN71" s="55"/>
      <c r="MO71" s="55"/>
      <c r="MP71" s="55"/>
      <c r="MQ71" s="55"/>
      <c r="MR71" s="55"/>
      <c r="MS71" s="55"/>
      <c r="MT71" s="55"/>
      <c r="MU71" s="55"/>
      <c r="MV71" s="55"/>
      <c r="MW71" s="55"/>
      <c r="MX71" s="55"/>
      <c r="MY71" s="55"/>
      <c r="MZ71" s="55"/>
      <c r="NA71" s="55"/>
      <c r="NB71" s="55"/>
      <c r="NC71" s="55"/>
      <c r="ND71" s="55"/>
      <c r="NE71" s="55"/>
      <c r="NF71" s="55"/>
      <c r="NG71" s="55"/>
      <c r="NH71" s="55"/>
      <c r="NI71" s="55"/>
      <c r="NJ71" s="55"/>
      <c r="NK71" s="55"/>
      <c r="NL71" s="55"/>
      <c r="NM71" s="55"/>
      <c r="NN71" s="55"/>
      <c r="NO71" s="55"/>
      <c r="NP71" s="55"/>
      <c r="NQ71" s="55"/>
      <c r="NR71" s="55"/>
      <c r="NS71" s="55"/>
      <c r="NT71" s="55"/>
      <c r="NU71" s="55"/>
      <c r="NV71" s="55"/>
      <c r="NW71" s="55"/>
      <c r="NX71" s="55"/>
      <c r="NY71" s="55"/>
      <c r="NZ71" s="55"/>
      <c r="OA71" s="55"/>
      <c r="OB71" s="55"/>
      <c r="OC71" s="55"/>
      <c r="OD71" s="55"/>
      <c r="OE71" s="55"/>
      <c r="OF71" s="55"/>
      <c r="OG71" s="55"/>
      <c r="OH71" s="55"/>
      <c r="OI71" s="55"/>
      <c r="OJ71" s="55"/>
      <c r="OK71" s="55"/>
      <c r="OL71" s="55"/>
      <c r="OM71" s="55"/>
      <c r="ON71" s="55"/>
      <c r="OO71" s="55"/>
      <c r="OP71" s="55"/>
      <c r="OQ71" s="55"/>
      <c r="OR71" s="55"/>
      <c r="OS71" s="55"/>
      <c r="OT71" s="55"/>
      <c r="OU71" s="55"/>
      <c r="OV71" s="55"/>
      <c r="OW71" s="55"/>
      <c r="OX71" s="55"/>
      <c r="OY71" s="55"/>
      <c r="OZ71" s="55"/>
      <c r="PA71" s="55"/>
      <c r="PB71" s="55"/>
      <c r="PC71" s="55"/>
      <c r="PD71" s="55"/>
      <c r="PE71" s="55"/>
      <c r="PF71" s="55"/>
      <c r="PG71" s="55"/>
      <c r="PH71" s="55"/>
      <c r="PI71" s="55"/>
      <c r="PJ71" s="55"/>
      <c r="PK71" s="55"/>
      <c r="PL71" s="55"/>
      <c r="PM71" s="55"/>
      <c r="PN71" s="55"/>
      <c r="PO71" s="55"/>
      <c r="PP71" s="55"/>
      <c r="PQ71" s="55"/>
      <c r="PR71" s="55"/>
      <c r="PS71" s="55"/>
      <c r="PT71" s="55"/>
      <c r="PU71" s="55"/>
      <c r="PV71" s="55"/>
      <c r="PW71" s="55"/>
      <c r="PX71" s="55"/>
      <c r="PY71" s="55"/>
      <c r="PZ71" s="55"/>
      <c r="QA71" s="55"/>
      <c r="QB71" s="55"/>
      <c r="QC71" s="55"/>
      <c r="QD71" s="55"/>
      <c r="QE71" s="55"/>
      <c r="QF71" s="55"/>
      <c r="QG71" s="55"/>
      <c r="QH71" s="55"/>
      <c r="QI71" s="55"/>
      <c r="QJ71" s="55"/>
      <c r="QK71" s="55"/>
      <c r="QL71" s="55"/>
      <c r="QM71" s="55"/>
      <c r="QN71" s="55"/>
      <c r="QO71" s="55"/>
      <c r="QP71" s="55"/>
      <c r="QQ71" s="55"/>
      <c r="QR71" s="55"/>
      <c r="QS71" s="55"/>
      <c r="QT71" s="55"/>
      <c r="QU71" s="55"/>
      <c r="QV71" s="55"/>
      <c r="QW71" s="55"/>
      <c r="QX71" s="55"/>
      <c r="QY71" s="55"/>
      <c r="QZ71" s="55"/>
      <c r="RA71" s="55"/>
      <c r="RB71" s="55"/>
      <c r="RC71" s="55"/>
      <c r="RD71" s="55"/>
      <c r="RE71" s="55"/>
      <c r="RF71" s="55"/>
      <c r="RG71" s="55"/>
      <c r="RH71" s="55"/>
      <c r="RI71" s="55"/>
      <c r="RJ71" s="55"/>
      <c r="RK71" s="55"/>
      <c r="RL71" s="55"/>
      <c r="RM71" s="55"/>
      <c r="RN71" s="55"/>
      <c r="RO71" s="55"/>
      <c r="RP71" s="55"/>
      <c r="RQ71" s="55"/>
      <c r="RR71" s="55"/>
      <c r="RS71" s="55"/>
      <c r="RT71" s="55"/>
      <c r="RU71" s="55"/>
      <c r="RV71" s="55"/>
      <c r="RW71" s="55"/>
      <c r="RX71" s="55"/>
      <c r="RY71" s="55"/>
      <c r="RZ71" s="55"/>
      <c r="SA71" s="55"/>
      <c r="SB71" s="55"/>
      <c r="SC71" s="55"/>
      <c r="SD71" s="55"/>
      <c r="SE71" s="55"/>
      <c r="SF71" s="55"/>
      <c r="SG71" s="55"/>
      <c r="SH71" s="55"/>
      <c r="SI71" s="55"/>
      <c r="SJ71" s="55"/>
      <c r="SK71" s="55"/>
      <c r="SL71" s="55"/>
      <c r="SM71" s="55"/>
      <c r="SN71" s="55"/>
      <c r="SO71" s="55"/>
      <c r="SP71" s="55"/>
      <c r="SQ71" s="55"/>
      <c r="SR71" s="55"/>
      <c r="SS71" s="55"/>
      <c r="ST71" s="55"/>
      <c r="SU71" s="55"/>
      <c r="SV71" s="55"/>
      <c r="SW71" s="55"/>
      <c r="SX71" s="55"/>
      <c r="SY71" s="55"/>
      <c r="SZ71" s="55"/>
      <c r="TA71" s="55"/>
      <c r="TB71" s="55"/>
      <c r="TC71" s="55"/>
      <c r="TD71" s="55"/>
      <c r="TE71" s="55"/>
      <c r="TF71" s="55"/>
      <c r="TG71" s="55"/>
      <c r="TH71" s="55"/>
      <c r="TI71" s="55"/>
      <c r="TJ71" s="55"/>
      <c r="TK71" s="55"/>
      <c r="TL71" s="55"/>
      <c r="TM71" s="55"/>
      <c r="TN71" s="55"/>
      <c r="TO71" s="55"/>
      <c r="TP71" s="55"/>
      <c r="TQ71" s="55"/>
      <c r="TR71" s="55"/>
      <c r="TS71" s="55"/>
      <c r="TT71" s="55"/>
      <c r="TU71" s="55"/>
      <c r="TV71" s="55"/>
      <c r="TW71" s="55"/>
      <c r="TX71" s="55"/>
      <c r="TY71" s="55"/>
      <c r="TZ71" s="55"/>
      <c r="UA71" s="55"/>
      <c r="UB71" s="55"/>
      <c r="UC71" s="55"/>
      <c r="UD71" s="55"/>
      <c r="UE71" s="55"/>
      <c r="UF71" s="55"/>
      <c r="UG71" s="55"/>
      <c r="UH71" s="55"/>
      <c r="UI71" s="55"/>
      <c r="UJ71" s="55"/>
      <c r="UK71" s="55"/>
      <c r="UL71" s="55"/>
      <c r="UM71" s="55"/>
      <c r="UN71" s="55"/>
      <c r="UO71" s="55"/>
      <c r="UP71" s="55"/>
      <c r="UQ71" s="55"/>
      <c r="UR71" s="55"/>
      <c r="US71" s="55"/>
      <c r="UT71" s="55"/>
      <c r="UU71" s="55"/>
      <c r="UV71" s="55"/>
      <c r="UW71" s="55"/>
      <c r="UX71" s="55"/>
      <c r="UY71" s="55"/>
      <c r="UZ71" s="55"/>
      <c r="VA71" s="55"/>
      <c r="VB71" s="55"/>
      <c r="VC71" s="55"/>
      <c r="VD71" s="55"/>
      <c r="VE71" s="55"/>
      <c r="VF71" s="55"/>
      <c r="VG71" s="55"/>
      <c r="VH71" s="55"/>
      <c r="VI71" s="55"/>
      <c r="VJ71" s="55"/>
      <c r="VK71" s="55"/>
      <c r="VL71" s="55"/>
      <c r="VM71" s="55"/>
      <c r="VN71" s="55"/>
      <c r="VO71" s="55"/>
      <c r="VP71" s="55"/>
      <c r="VQ71" s="55"/>
      <c r="VR71" s="55"/>
      <c r="VS71" s="55"/>
      <c r="VT71" s="55"/>
      <c r="VU71" s="55"/>
      <c r="VV71" s="55"/>
      <c r="VW71" s="55"/>
      <c r="VX71" s="55"/>
      <c r="VY71" s="55"/>
      <c r="VZ71" s="55"/>
      <c r="WA71" s="55"/>
      <c r="WB71" s="55"/>
      <c r="WC71" s="55"/>
      <c r="WD71" s="55"/>
      <c r="WE71" s="55"/>
      <c r="WF71" s="55"/>
      <c r="WG71" s="55"/>
      <c r="WH71" s="55"/>
      <c r="WI71" s="55"/>
      <c r="WJ71" s="55"/>
      <c r="WK71" s="55"/>
      <c r="WL71" s="55"/>
      <c r="WM71" s="55"/>
      <c r="WN71" s="55"/>
      <c r="WO71" s="55"/>
      <c r="WP71" s="55"/>
      <c r="WQ71" s="55"/>
      <c r="WR71" s="55"/>
      <c r="WS71" s="55"/>
      <c r="WT71" s="55"/>
      <c r="WU71" s="55"/>
      <c r="WV71" s="55"/>
      <c r="WW71" s="55"/>
      <c r="WX71" s="55"/>
      <c r="WY71" s="55"/>
      <c r="WZ71" s="55"/>
      <c r="XA71" s="55"/>
      <c r="XB71" s="55"/>
      <c r="XC71" s="55"/>
      <c r="XD71" s="55"/>
      <c r="XE71" s="55"/>
      <c r="XF71" s="55"/>
      <c r="XG71" s="55"/>
      <c r="XH71" s="55"/>
      <c r="XI71" s="55"/>
      <c r="XJ71" s="55"/>
      <c r="XK71" s="55"/>
      <c r="XL71" s="55"/>
      <c r="XM71" s="55"/>
      <c r="XN71" s="55"/>
      <c r="XO71" s="55"/>
      <c r="XP71" s="55"/>
      <c r="XQ71" s="55"/>
      <c r="XR71" s="55"/>
      <c r="XS71" s="55"/>
      <c r="XT71" s="55"/>
      <c r="XU71" s="55"/>
      <c r="XV71" s="55"/>
      <c r="XW71" s="55"/>
      <c r="XX71" s="55"/>
      <c r="XY71" s="55"/>
      <c r="XZ71" s="55"/>
      <c r="YA71" s="55"/>
      <c r="YB71" s="55"/>
      <c r="YC71" s="55"/>
      <c r="YD71" s="55"/>
      <c r="YE71" s="55"/>
      <c r="YF71" s="55"/>
      <c r="YG71" s="55"/>
      <c r="YH71" s="55"/>
      <c r="YI71" s="55"/>
      <c r="YJ71" s="55"/>
      <c r="YK71" s="55"/>
      <c r="YL71" s="55"/>
      <c r="YM71" s="55"/>
      <c r="YN71" s="55"/>
      <c r="YO71" s="55"/>
      <c r="YP71" s="55"/>
      <c r="YQ71" s="55"/>
      <c r="YR71" s="55"/>
      <c r="YS71" s="55"/>
      <c r="YT71" s="55"/>
      <c r="YU71" s="55"/>
      <c r="YV71" s="55"/>
      <c r="YW71" s="55"/>
      <c r="YX71" s="55"/>
      <c r="YY71" s="55"/>
      <c r="YZ71" s="55"/>
      <c r="ZA71" s="55"/>
      <c r="ZB71" s="55"/>
      <c r="ZC71" s="55"/>
      <c r="ZD71" s="55"/>
      <c r="ZE71" s="55"/>
      <c r="ZF71" s="55"/>
      <c r="ZG71" s="55"/>
      <c r="ZH71" s="55"/>
      <c r="ZI71" s="55"/>
      <c r="ZJ71" s="55"/>
      <c r="ZK71" s="55"/>
      <c r="ZL71" s="55"/>
      <c r="ZM71" s="55"/>
      <c r="ZN71" s="55"/>
      <c r="ZO71" s="55"/>
      <c r="ZP71" s="55"/>
      <c r="ZQ71" s="55"/>
      <c r="ZR71" s="55"/>
      <c r="ZS71" s="55"/>
      <c r="ZT71" s="55"/>
      <c r="ZU71" s="55"/>
      <c r="ZV71" s="55"/>
      <c r="ZW71" s="55"/>
      <c r="ZX71" s="55"/>
      <c r="ZY71" s="55"/>
      <c r="ZZ71" s="55"/>
      <c r="AAA71" s="55"/>
      <c r="AAB71" s="55"/>
      <c r="AAC71" s="55"/>
      <c r="AAD71" s="55"/>
      <c r="AAE71" s="55"/>
      <c r="AAF71" s="55"/>
      <c r="AAG71" s="55"/>
      <c r="AAH71" s="55"/>
      <c r="AAI71" s="55"/>
      <c r="AAJ71" s="55"/>
      <c r="AAK71" s="55"/>
      <c r="AAL71" s="55"/>
      <c r="AAM71" s="55"/>
      <c r="AAN71" s="55"/>
      <c r="AAO71" s="55"/>
      <c r="AAP71" s="55"/>
      <c r="AAQ71" s="55"/>
      <c r="AAR71" s="55"/>
      <c r="AAS71" s="55"/>
      <c r="AAT71" s="55"/>
      <c r="AAU71" s="55"/>
      <c r="AAV71" s="55"/>
      <c r="AAW71" s="55"/>
      <c r="AAX71" s="55"/>
      <c r="AAY71" s="55"/>
      <c r="AAZ71" s="55"/>
      <c r="ABA71" s="55"/>
      <c r="ABB71" s="55"/>
      <c r="ABC71" s="55"/>
    </row>
    <row r="72" spans="1:731" ht="15" customHeight="1" x14ac:dyDescent="0.3">
      <c r="A72" s="404" t="s">
        <v>113</v>
      </c>
      <c r="B72" s="398"/>
      <c r="C72" s="78"/>
      <c r="D72" s="225" t="s">
        <v>13</v>
      </c>
      <c r="E72" s="378" t="s">
        <v>80</v>
      </c>
      <c r="F72" s="226">
        <f t="shared" si="75"/>
        <v>412.96158561352064</v>
      </c>
      <c r="G72" s="227">
        <f t="shared" si="76"/>
        <v>473.80329780078</v>
      </c>
      <c r="H72" s="228">
        <v>-2121.2017517302438</v>
      </c>
      <c r="I72" s="229">
        <f t="shared" si="1"/>
        <v>-0.1284113311782846</v>
      </c>
      <c r="J72" s="230">
        <f>'[90]Lubricant Cluster Summary'!$H$5</f>
        <v>123281.91553362498</v>
      </c>
      <c r="K72" s="227">
        <f>'[90]Lubricant Cluster Summary'!$I$5</f>
        <v>141445.0645627226</v>
      </c>
      <c r="L72" s="228">
        <f t="shared" si="77"/>
        <v>-18163.149029097622</v>
      </c>
      <c r="M72" s="229">
        <f t="shared" si="21"/>
        <v>-0.12841133117828463</v>
      </c>
      <c r="N72" s="230">
        <f>'[90]Lubricant Cluster Summary'!$L$5</f>
        <v>33241.499433624966</v>
      </c>
      <c r="O72" s="227">
        <f>'[90]Lubricant Cluster Summary'!$M$5</f>
        <v>41892.032588822622</v>
      </c>
      <c r="P72" s="228">
        <f t="shared" si="66"/>
        <v>-8650.533155197656</v>
      </c>
      <c r="Q72" s="229">
        <f t="shared" si="2"/>
        <v>-0.20649590436692583</v>
      </c>
      <c r="R72" s="230">
        <f>'[90]Lubricant Cluster Summary'!$R$5</f>
        <v>119.0882</v>
      </c>
      <c r="S72" s="227">
        <f>'[90]Lubricant Cluster Summary'!$S$5</f>
        <v>100</v>
      </c>
      <c r="T72" s="228">
        <v>-2121.2017517302438</v>
      </c>
      <c r="U72" s="229">
        <v>-0.29996758838511017</v>
      </c>
      <c r="V72" s="230">
        <f>'[90]Lubricant Cluster Summary'!$V$5</f>
        <v>36929.307780000003</v>
      </c>
      <c r="W72" s="227">
        <f>'[90]Lubricant Cluster Summary'!$W$5</f>
        <v>37893.054782986881</v>
      </c>
      <c r="X72" s="228">
        <v>-2121.2017517302438</v>
      </c>
      <c r="Y72" s="229">
        <f t="shared" si="4"/>
        <v>-2.5433341505620145E-2</v>
      </c>
      <c r="Z72" s="231">
        <f>'[90]Lubricant Cluster Summary'!$AD$5</f>
        <v>-3179.7281463750178</v>
      </c>
      <c r="AA72" s="232">
        <f>'[90]Lubricant Cluster Summary'!$AE$5</f>
        <v>4098.9778058357388</v>
      </c>
      <c r="AB72" s="228">
        <v>-2121.2017517302438</v>
      </c>
      <c r="AC72" s="233">
        <f t="shared" si="5"/>
        <v>-1.7757368536731328</v>
      </c>
      <c r="AD72" s="234">
        <f>0</f>
        <v>0</v>
      </c>
      <c r="AE72" s="235">
        <v>0</v>
      </c>
      <c r="AF72" s="236">
        <f t="shared" si="6"/>
        <v>0</v>
      </c>
      <c r="AG72" s="237">
        <v>0</v>
      </c>
      <c r="AH72" s="238">
        <v>0</v>
      </c>
      <c r="AI72" s="239">
        <v>0</v>
      </c>
      <c r="AJ72" s="236">
        <f t="shared" si="8"/>
        <v>0</v>
      </c>
      <c r="AK72" s="233">
        <v>0</v>
      </c>
      <c r="AL72" s="240">
        <f>'[90]Lubricant Cluster Summary'!$AR$5</f>
        <v>-3179.7281463750178</v>
      </c>
      <c r="AM72" s="241">
        <f>'[90]Lubricant Cluster Summary'!$AS$5</f>
        <v>4098.9778058357388</v>
      </c>
      <c r="AN72" s="228">
        <f t="shared" si="9"/>
        <v>-7278.7059522107565</v>
      </c>
      <c r="AO72" s="242">
        <f t="shared" si="10"/>
        <v>-1.7757368536731328</v>
      </c>
      <c r="AP72" s="80" t="s">
        <v>156</v>
      </c>
      <c r="AQ72" s="43"/>
      <c r="AR72" s="1">
        <f>(N72+R72-V72)-Z72</f>
        <v>-388.99200000002111</v>
      </c>
      <c r="AS72" s="1">
        <f t="shared" si="12"/>
        <v>0</v>
      </c>
      <c r="AT72" s="1">
        <f t="shared" si="13"/>
        <v>0</v>
      </c>
      <c r="AU72" s="1">
        <f t="shared" si="14"/>
        <v>0</v>
      </c>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c r="FJ72" s="22"/>
      <c r="FK72" s="22"/>
      <c r="FL72" s="22"/>
      <c r="FM72" s="22"/>
      <c r="FN72" s="22"/>
      <c r="FO72" s="22"/>
      <c r="FP72" s="22"/>
      <c r="FQ72" s="22"/>
      <c r="FR72" s="22"/>
      <c r="FS72" s="22"/>
      <c r="FT72" s="22"/>
      <c r="FU72" s="22"/>
      <c r="FV72" s="22"/>
      <c r="FW72" s="22"/>
      <c r="FX72" s="22"/>
      <c r="FY72" s="22"/>
      <c r="FZ72" s="22"/>
      <c r="GA72" s="22"/>
      <c r="GB72" s="22"/>
      <c r="GC72" s="22"/>
      <c r="GD72" s="22"/>
      <c r="GE72" s="22"/>
      <c r="GF72" s="22"/>
      <c r="GG72" s="22"/>
      <c r="GH72" s="22"/>
      <c r="GI72" s="22"/>
      <c r="GJ72" s="22"/>
      <c r="GK72" s="22"/>
      <c r="GL72" s="22"/>
      <c r="GM72" s="22"/>
      <c r="GN72" s="22"/>
      <c r="GO72" s="22"/>
      <c r="GP72" s="22"/>
      <c r="GQ72" s="22"/>
      <c r="GR72" s="22"/>
      <c r="GS72" s="22"/>
      <c r="GT72" s="22"/>
      <c r="GU72" s="22"/>
      <c r="GV72" s="22"/>
      <c r="GW72" s="22"/>
      <c r="GX72" s="22"/>
      <c r="GY72" s="22"/>
      <c r="GZ72" s="22"/>
      <c r="HA72" s="22"/>
      <c r="HB72" s="22"/>
      <c r="HC72" s="22"/>
      <c r="HD72" s="22"/>
      <c r="HE72" s="22"/>
      <c r="HF72" s="22"/>
      <c r="HG72" s="22"/>
      <c r="HH72" s="22"/>
      <c r="HI72" s="22"/>
      <c r="HJ72" s="22"/>
      <c r="HK72" s="22"/>
      <c r="HL72" s="22"/>
      <c r="HM72" s="22"/>
      <c r="HN72" s="22"/>
      <c r="HO72" s="22"/>
      <c r="HP72" s="22"/>
      <c r="HQ72" s="22"/>
      <c r="HR72" s="22"/>
      <c r="HS72" s="22"/>
      <c r="HT72" s="22"/>
      <c r="HU72" s="22"/>
      <c r="HV72" s="22"/>
      <c r="HW72" s="22"/>
      <c r="HX72" s="22"/>
      <c r="HY72" s="22"/>
      <c r="HZ72" s="22"/>
      <c r="IA72" s="22"/>
      <c r="IB72" s="22"/>
      <c r="IC72" s="22"/>
      <c r="ID72" s="22"/>
      <c r="IE72" s="22"/>
      <c r="IF72" s="22"/>
      <c r="IG72" s="22"/>
      <c r="IH72" s="22"/>
      <c r="II72" s="22"/>
      <c r="IJ72" s="22"/>
      <c r="IK72" s="22"/>
      <c r="IL72" s="22"/>
      <c r="IM72" s="22"/>
      <c r="IN72" s="22"/>
      <c r="IO72" s="22"/>
      <c r="IP72" s="22"/>
      <c r="IQ72" s="22"/>
      <c r="IR72" s="22"/>
      <c r="IS72" s="22"/>
      <c r="IT72" s="22"/>
      <c r="IU72" s="22"/>
      <c r="IV72" s="22"/>
      <c r="IW72" s="22"/>
      <c r="IX72" s="22"/>
      <c r="IY72" s="22"/>
      <c r="IZ72" s="22"/>
      <c r="JA72" s="22"/>
      <c r="JB72" s="22"/>
      <c r="JC72" s="22"/>
      <c r="JD72" s="22"/>
      <c r="JE72" s="22"/>
      <c r="JJ72" s="22"/>
      <c r="JK72" s="22"/>
      <c r="JL72" s="22"/>
      <c r="JM72" s="22"/>
      <c r="JN72" s="22"/>
      <c r="JO72" s="22"/>
      <c r="JP72" s="22"/>
      <c r="JQ72" s="22"/>
      <c r="JR72" s="22"/>
      <c r="JS72" s="22"/>
      <c r="JT72" s="22"/>
      <c r="JU72" s="22"/>
      <c r="JV72" s="22"/>
      <c r="JW72" s="22"/>
      <c r="JX72" s="22"/>
      <c r="JY72" s="22"/>
      <c r="JZ72" s="22"/>
      <c r="KA72" s="22"/>
      <c r="KB72" s="22"/>
      <c r="KC72" s="22"/>
      <c r="KD72" s="22"/>
      <c r="KE72" s="22"/>
      <c r="KF72" s="22"/>
      <c r="KG72" s="22"/>
      <c r="KH72" s="22"/>
      <c r="KI72" s="22"/>
      <c r="KJ72" s="22"/>
      <c r="KK72" s="22"/>
      <c r="KL72" s="22"/>
      <c r="KM72" s="22"/>
      <c r="KN72" s="22"/>
      <c r="KO72" s="22"/>
      <c r="KP72" s="22"/>
      <c r="KQ72" s="22"/>
      <c r="KR72" s="22"/>
      <c r="KS72" s="22"/>
      <c r="KT72" s="22"/>
      <c r="KU72" s="22"/>
      <c r="KV72" s="22"/>
      <c r="KW72" s="22"/>
      <c r="KX72" s="22"/>
      <c r="KY72" s="22"/>
      <c r="KZ72" s="22"/>
      <c r="LA72" s="22"/>
      <c r="LB72" s="22"/>
      <c r="LC72" s="22"/>
      <c r="LD72" s="22"/>
      <c r="LE72" s="22"/>
      <c r="LF72" s="22"/>
      <c r="LG72" s="22"/>
      <c r="LH72" s="22"/>
      <c r="LI72" s="22"/>
      <c r="LJ72" s="22"/>
      <c r="LK72" s="22"/>
      <c r="LL72" s="22"/>
      <c r="LM72" s="22"/>
      <c r="LN72" s="22"/>
      <c r="LO72" s="22"/>
      <c r="LP72" s="22"/>
      <c r="LQ72" s="22"/>
      <c r="LR72" s="22"/>
      <c r="LS72" s="22"/>
      <c r="LT72" s="22"/>
      <c r="LU72" s="22"/>
      <c r="LV72" s="22"/>
      <c r="LW72" s="22"/>
      <c r="LX72" s="22"/>
      <c r="LY72" s="22"/>
      <c r="LZ72" s="22"/>
      <c r="MA72" s="22"/>
      <c r="MB72" s="22"/>
      <c r="MC72" s="22"/>
      <c r="MD72" s="22"/>
      <c r="ME72" s="22"/>
      <c r="MF72" s="22"/>
      <c r="MG72" s="22"/>
      <c r="MH72" s="22"/>
      <c r="MI72" s="22"/>
      <c r="MJ72" s="22"/>
      <c r="MK72" s="22"/>
      <c r="ML72" s="22"/>
      <c r="MM72" s="22"/>
      <c r="MN72" s="22"/>
      <c r="MO72" s="22"/>
      <c r="MP72" s="22"/>
      <c r="MQ72" s="22"/>
      <c r="MR72" s="22"/>
      <c r="MS72" s="22"/>
      <c r="MT72" s="22"/>
      <c r="MU72" s="22"/>
      <c r="MV72" s="22"/>
      <c r="MW72" s="22"/>
      <c r="MX72" s="22"/>
      <c r="MY72" s="22"/>
      <c r="MZ72" s="22"/>
      <c r="NA72" s="22"/>
      <c r="NB72" s="22"/>
      <c r="NC72" s="22"/>
      <c r="ND72" s="22"/>
      <c r="NE72" s="22"/>
      <c r="NF72" s="22"/>
      <c r="NG72" s="22"/>
      <c r="NH72" s="22"/>
      <c r="NI72" s="22"/>
      <c r="NJ72" s="22"/>
      <c r="NK72" s="22"/>
      <c r="NL72" s="22"/>
      <c r="NM72" s="22"/>
      <c r="NN72" s="22"/>
      <c r="NO72" s="22"/>
      <c r="NP72" s="22"/>
      <c r="NQ72" s="22"/>
      <c r="NR72" s="22"/>
      <c r="NS72" s="22"/>
      <c r="NT72" s="22"/>
      <c r="NU72" s="22"/>
      <c r="NV72" s="22"/>
      <c r="NW72" s="22"/>
      <c r="NX72" s="22"/>
      <c r="NY72" s="22"/>
      <c r="NZ72" s="22"/>
      <c r="OA72" s="22"/>
      <c r="OB72" s="22"/>
      <c r="OC72" s="22"/>
      <c r="OD72" s="22"/>
      <c r="OE72" s="22"/>
      <c r="OF72" s="22"/>
      <c r="OG72" s="22"/>
      <c r="OH72" s="22"/>
      <c r="OI72" s="22"/>
      <c r="OJ72" s="22"/>
      <c r="OK72" s="22"/>
      <c r="OL72" s="22"/>
      <c r="OM72" s="22"/>
      <c r="ON72" s="22"/>
      <c r="OO72" s="22"/>
      <c r="OP72" s="22"/>
      <c r="OQ72" s="22"/>
      <c r="OR72" s="22"/>
      <c r="OS72" s="22"/>
      <c r="OT72" s="22"/>
      <c r="OU72" s="22"/>
      <c r="OV72" s="22"/>
      <c r="OW72" s="22"/>
      <c r="OX72" s="22"/>
      <c r="OY72" s="22"/>
      <c r="OZ72" s="22"/>
      <c r="PA72" s="22"/>
      <c r="PB72" s="22"/>
      <c r="PC72" s="22"/>
      <c r="PD72" s="22"/>
      <c r="PE72" s="22"/>
      <c r="PF72" s="22"/>
      <c r="PG72" s="22"/>
      <c r="PH72" s="22"/>
      <c r="PI72" s="22"/>
      <c r="PJ72" s="22"/>
      <c r="PK72" s="22"/>
      <c r="PL72" s="22"/>
      <c r="PM72" s="22"/>
      <c r="PN72" s="22"/>
      <c r="PO72" s="22"/>
      <c r="PP72" s="22"/>
      <c r="PQ72" s="22"/>
      <c r="PR72" s="22"/>
      <c r="PS72" s="22"/>
      <c r="PT72" s="22"/>
      <c r="PU72" s="22"/>
      <c r="PV72" s="22"/>
      <c r="PW72" s="22"/>
      <c r="PX72" s="22"/>
      <c r="PY72" s="22"/>
      <c r="PZ72" s="22"/>
      <c r="QA72" s="22"/>
      <c r="QB72" s="22"/>
      <c r="QC72" s="22"/>
      <c r="QD72" s="22"/>
      <c r="QE72" s="22"/>
      <c r="QF72" s="22"/>
      <c r="QG72" s="22"/>
      <c r="QH72" s="22"/>
      <c r="QI72" s="22"/>
      <c r="QJ72" s="22"/>
      <c r="QK72" s="22"/>
      <c r="QL72" s="22"/>
      <c r="QM72" s="22"/>
      <c r="QN72" s="22"/>
      <c r="QO72" s="22"/>
      <c r="QP72" s="22"/>
      <c r="QQ72" s="22"/>
      <c r="QR72" s="22"/>
      <c r="QS72" s="22"/>
      <c r="QT72" s="22"/>
      <c r="QU72" s="22"/>
      <c r="QV72" s="22"/>
      <c r="QW72" s="22"/>
      <c r="QX72" s="22"/>
      <c r="QY72" s="22"/>
      <c r="QZ72" s="22"/>
      <c r="RA72" s="22"/>
      <c r="RB72" s="22"/>
      <c r="RC72" s="22"/>
      <c r="RD72" s="22"/>
      <c r="RE72" s="22"/>
      <c r="RF72" s="22"/>
      <c r="RG72" s="22"/>
      <c r="RH72" s="22"/>
      <c r="RI72" s="22"/>
      <c r="RJ72" s="22"/>
      <c r="RK72" s="22"/>
      <c r="RL72" s="22"/>
      <c r="RM72" s="22"/>
      <c r="RN72" s="22"/>
      <c r="RO72" s="22"/>
      <c r="RP72" s="22"/>
      <c r="RQ72" s="22"/>
      <c r="RR72" s="22"/>
      <c r="RS72" s="22"/>
      <c r="RT72" s="22"/>
      <c r="RU72" s="22"/>
      <c r="RV72" s="22"/>
      <c r="RW72" s="22"/>
      <c r="RX72" s="22"/>
      <c r="RY72" s="22"/>
      <c r="RZ72" s="22"/>
      <c r="SA72" s="22"/>
      <c r="SB72" s="22"/>
      <c r="SC72" s="22"/>
      <c r="SD72" s="22"/>
      <c r="SE72" s="22"/>
      <c r="SF72" s="22"/>
      <c r="SG72" s="22"/>
      <c r="SH72" s="22"/>
      <c r="SI72" s="22"/>
      <c r="SJ72" s="22"/>
      <c r="SK72" s="22"/>
      <c r="SL72" s="22"/>
      <c r="SM72" s="22"/>
      <c r="SN72" s="22"/>
      <c r="SO72" s="22"/>
      <c r="SP72" s="22"/>
      <c r="SQ72" s="22"/>
      <c r="SR72" s="22"/>
      <c r="SS72" s="22"/>
      <c r="ST72" s="22"/>
      <c r="SU72" s="22"/>
      <c r="SV72" s="22"/>
      <c r="SW72" s="22"/>
      <c r="SX72" s="22"/>
      <c r="SY72" s="22"/>
      <c r="SZ72" s="22"/>
      <c r="TA72" s="22"/>
      <c r="TB72" s="22"/>
      <c r="TC72" s="22"/>
      <c r="TD72" s="22"/>
      <c r="TE72" s="22"/>
      <c r="TF72" s="22"/>
      <c r="TG72" s="22"/>
      <c r="TH72" s="22"/>
      <c r="TI72" s="22"/>
      <c r="TJ72" s="22"/>
      <c r="TK72" s="22"/>
      <c r="TL72" s="22"/>
      <c r="TM72" s="22"/>
      <c r="TN72" s="22"/>
      <c r="TO72" s="22"/>
      <c r="TP72" s="22"/>
      <c r="TQ72" s="22"/>
      <c r="TR72" s="22"/>
      <c r="TS72" s="22"/>
      <c r="TT72" s="22"/>
      <c r="TU72" s="22"/>
      <c r="TV72" s="22"/>
      <c r="TW72" s="22"/>
      <c r="TX72" s="22"/>
      <c r="TY72" s="22"/>
      <c r="TZ72" s="22"/>
      <c r="UA72" s="22"/>
      <c r="UB72" s="22"/>
      <c r="UC72" s="22"/>
      <c r="UD72" s="22"/>
      <c r="UE72" s="22"/>
      <c r="UF72" s="22"/>
      <c r="UG72" s="22"/>
      <c r="UH72" s="22"/>
      <c r="UI72" s="22"/>
      <c r="UJ72" s="22"/>
      <c r="UK72" s="22"/>
      <c r="UL72" s="22"/>
      <c r="UM72" s="22"/>
      <c r="UN72" s="22"/>
      <c r="UO72" s="22"/>
      <c r="UP72" s="22"/>
      <c r="UQ72" s="22"/>
      <c r="UR72" s="22"/>
      <c r="US72" s="22"/>
      <c r="UT72" s="22"/>
      <c r="UU72" s="22"/>
      <c r="UV72" s="22"/>
      <c r="UW72" s="22"/>
      <c r="UX72" s="22"/>
      <c r="UY72" s="22"/>
      <c r="UZ72" s="22"/>
      <c r="VA72" s="22"/>
      <c r="VB72" s="22"/>
      <c r="VC72" s="22"/>
      <c r="VD72" s="22"/>
      <c r="VE72" s="22"/>
      <c r="VF72" s="22"/>
      <c r="VG72" s="22"/>
      <c r="VH72" s="22"/>
      <c r="VI72" s="22"/>
      <c r="VJ72" s="22"/>
      <c r="VK72" s="22"/>
      <c r="VL72" s="22"/>
      <c r="VM72" s="22"/>
      <c r="VN72" s="22"/>
      <c r="VO72" s="22"/>
      <c r="VP72" s="22"/>
      <c r="VQ72" s="22"/>
      <c r="VR72" s="22"/>
      <c r="VS72" s="22"/>
      <c r="VT72" s="22"/>
      <c r="VU72" s="22"/>
      <c r="VV72" s="22"/>
      <c r="VW72" s="22"/>
      <c r="VX72" s="22"/>
      <c r="VY72" s="22"/>
      <c r="VZ72" s="22"/>
      <c r="WA72" s="22"/>
      <c r="WB72" s="22"/>
      <c r="WC72" s="22"/>
      <c r="WD72" s="22"/>
      <c r="WE72" s="22"/>
      <c r="WF72" s="22"/>
      <c r="WG72" s="22"/>
      <c r="WH72" s="22"/>
      <c r="WI72" s="22"/>
      <c r="WJ72" s="22"/>
      <c r="WK72" s="22"/>
      <c r="WL72" s="22"/>
      <c r="WM72" s="22"/>
      <c r="WN72" s="22"/>
      <c r="WO72" s="22"/>
      <c r="WP72" s="22"/>
      <c r="WQ72" s="22"/>
      <c r="WR72" s="22"/>
      <c r="WS72" s="22"/>
      <c r="WT72" s="22"/>
      <c r="WU72" s="22"/>
      <c r="WV72" s="22"/>
      <c r="WW72" s="22"/>
      <c r="WX72" s="22"/>
      <c r="WY72" s="22"/>
      <c r="WZ72" s="22"/>
      <c r="XA72" s="22"/>
      <c r="XB72" s="22"/>
      <c r="XC72" s="22"/>
      <c r="XD72" s="22"/>
      <c r="XE72" s="22"/>
      <c r="XF72" s="22"/>
      <c r="XG72" s="22"/>
      <c r="XH72" s="22"/>
      <c r="XI72" s="22"/>
      <c r="XJ72" s="22"/>
      <c r="XK72" s="22"/>
      <c r="XL72" s="22"/>
      <c r="XM72" s="22"/>
      <c r="XN72" s="22"/>
      <c r="XO72" s="22"/>
      <c r="XP72" s="22"/>
      <c r="XQ72" s="22"/>
      <c r="XR72" s="22"/>
      <c r="XS72" s="22"/>
      <c r="XT72" s="22"/>
      <c r="XU72" s="22"/>
      <c r="XV72" s="22"/>
      <c r="XW72" s="22"/>
      <c r="XX72" s="22"/>
      <c r="XY72" s="22"/>
      <c r="XZ72" s="22"/>
      <c r="YA72" s="22"/>
      <c r="YB72" s="22"/>
      <c r="YC72" s="22"/>
      <c r="YD72" s="22"/>
      <c r="YE72" s="22"/>
      <c r="YF72" s="22"/>
      <c r="YG72" s="22"/>
      <c r="YH72" s="22"/>
      <c r="YI72" s="22"/>
      <c r="YJ72" s="22"/>
      <c r="YK72" s="22"/>
      <c r="YL72" s="22"/>
      <c r="YM72" s="22"/>
      <c r="YN72" s="22"/>
      <c r="YO72" s="22"/>
      <c r="YP72" s="22"/>
      <c r="YQ72" s="22"/>
      <c r="YR72" s="22"/>
      <c r="YS72" s="22"/>
      <c r="YT72" s="22"/>
      <c r="YU72" s="22"/>
      <c r="YV72" s="22"/>
      <c r="YW72" s="22"/>
      <c r="YX72" s="22"/>
      <c r="YY72" s="22"/>
      <c r="YZ72" s="22"/>
      <c r="ZA72" s="22"/>
      <c r="ZB72" s="22"/>
      <c r="ZC72" s="22"/>
      <c r="ZD72" s="22"/>
      <c r="ZE72" s="22"/>
      <c r="ZF72" s="22"/>
      <c r="ZG72" s="22"/>
      <c r="ZH72" s="22"/>
      <c r="ZI72" s="22"/>
      <c r="ZJ72" s="22"/>
      <c r="ZK72" s="22"/>
      <c r="ZL72" s="22"/>
      <c r="ZM72" s="22"/>
      <c r="ZN72" s="22"/>
      <c r="ZO72" s="22"/>
      <c r="ZP72" s="22"/>
      <c r="ZQ72" s="22"/>
      <c r="ZR72" s="22"/>
      <c r="ZS72" s="22"/>
      <c r="ZT72" s="22"/>
      <c r="ZU72" s="22"/>
      <c r="ZV72" s="22"/>
      <c r="ZW72" s="22"/>
      <c r="ZX72" s="22"/>
      <c r="ZY72" s="22"/>
      <c r="ZZ72" s="22"/>
      <c r="AAA72" s="22"/>
      <c r="AAB72" s="22"/>
      <c r="AAC72" s="22"/>
      <c r="AAD72" s="22"/>
      <c r="AAE72" s="22"/>
      <c r="AAF72" s="22"/>
      <c r="AAG72" s="22"/>
      <c r="AAH72" s="22"/>
      <c r="AAI72" s="22"/>
      <c r="AAJ72" s="22"/>
      <c r="AAK72" s="22"/>
      <c r="AAL72" s="22"/>
      <c r="AAM72" s="22"/>
      <c r="AAN72" s="22"/>
      <c r="AAO72" s="22"/>
      <c r="AAP72" s="22"/>
      <c r="AAQ72" s="22"/>
      <c r="AAR72" s="22"/>
      <c r="AAS72" s="22"/>
      <c r="AAT72" s="22"/>
      <c r="AAU72" s="22"/>
      <c r="AAV72" s="22"/>
      <c r="AAW72" s="22"/>
      <c r="AAX72" s="22"/>
      <c r="AAY72" s="22"/>
      <c r="AAZ72" s="22"/>
      <c r="ABA72" s="22"/>
      <c r="ABB72" s="22"/>
      <c r="ABC72" s="22"/>
    </row>
    <row r="73" spans="1:731" ht="15" customHeight="1" x14ac:dyDescent="0.3">
      <c r="A73" s="405"/>
      <c r="B73" s="398"/>
      <c r="C73" s="78"/>
      <c r="D73" s="243" t="s">
        <v>11</v>
      </c>
      <c r="E73" s="79" t="s">
        <v>82</v>
      </c>
      <c r="F73" s="105">
        <f t="shared" si="75"/>
        <v>122.86564622110289</v>
      </c>
      <c r="G73" s="58">
        <f t="shared" si="76"/>
        <v>156.86286331899291</v>
      </c>
      <c r="H73" s="52">
        <f t="shared" ref="H73:H78" si="78">F73-G73</f>
        <v>-33.997217097890015</v>
      </c>
      <c r="I73" s="14">
        <f t="shared" si="1"/>
        <v>-0.21673209565704543</v>
      </c>
      <c r="J73" s="15">
        <f>'[90]Lubricant Cluster Summary'!$H$6</f>
        <v>36679.228158500002</v>
      </c>
      <c r="K73" s="16">
        <f>'[90]Lubricant Cluster Summary'!$I$6</f>
        <v>46828.4579964609</v>
      </c>
      <c r="L73" s="52">
        <f t="shared" si="77"/>
        <v>-10149.229837960898</v>
      </c>
      <c r="M73" s="14">
        <f t="shared" si="21"/>
        <v>-0.21673209565704543</v>
      </c>
      <c r="N73" s="15">
        <f>'[90]Lubricant Cluster Summary'!$L$6</f>
        <v>4093.9193685000018</v>
      </c>
      <c r="O73" s="16">
        <f>'[90]Lubricant Cluster Summary'!$M$6</f>
        <v>8202.0011714138618</v>
      </c>
      <c r="P73" s="52">
        <f t="shared" si="66"/>
        <v>-4108.08180291386</v>
      </c>
      <c r="Q73" s="14">
        <f t="shared" si="2"/>
        <v>-0.5008633523769308</v>
      </c>
      <c r="R73" s="15">
        <f>'[90]Lubricant Cluster Summary'!$R$6</f>
        <v>0</v>
      </c>
      <c r="S73" s="74">
        <f>'[90]Lubricant Cluster Summary'!$S$6</f>
        <v>0</v>
      </c>
      <c r="T73" s="52">
        <f t="shared" ref="T73:T78" si="79">R73-S73</f>
        <v>0</v>
      </c>
      <c r="U73" s="14" t="str">
        <f t="shared" ref="U73:U81" si="80">IFERROR(IF(S73&lt;0,-(R73-S73)/S73,(R73-S73)/S73),"")</f>
        <v/>
      </c>
      <c r="V73" s="15">
        <f>'[90]Lubricant Cluster Summary'!$V$6</f>
        <v>10463.420249999999</v>
      </c>
      <c r="W73" s="74">
        <f>'[90]Lubricant Cluster Summary'!$W$6</f>
        <v>11835.593358042828</v>
      </c>
      <c r="X73" s="52">
        <f t="shared" ref="X73:X78" si="81">V73-W73</f>
        <v>-1372.173108042829</v>
      </c>
      <c r="Y73" s="14">
        <f t="shared" si="4"/>
        <v>-0.1159361484069892</v>
      </c>
      <c r="Z73" s="83">
        <f>'[90]Lubricant Cluster Summary'!$AD$6</f>
        <v>-7306.2508814999983</v>
      </c>
      <c r="AA73" s="87">
        <f>'[90]Lubricant Cluster Summary'!$AE$6</f>
        <v>-3633.5921866289677</v>
      </c>
      <c r="AB73" s="52">
        <f t="shared" ref="AB73:AB78" si="82">Z73-AA73</f>
        <v>-3672.6586948710305</v>
      </c>
      <c r="AC73" s="19">
        <f t="shared" si="5"/>
        <v>-1.0107514839958709</v>
      </c>
      <c r="AD73" s="126">
        <v>0</v>
      </c>
      <c r="AE73" s="139">
        <v>0</v>
      </c>
      <c r="AF73" s="108">
        <f t="shared" si="6"/>
        <v>0</v>
      </c>
      <c r="AG73" s="113">
        <v>0</v>
      </c>
      <c r="AH73" s="141">
        <v>0</v>
      </c>
      <c r="AI73" s="128">
        <v>0</v>
      </c>
      <c r="AJ73" s="108">
        <f t="shared" si="8"/>
        <v>0</v>
      </c>
      <c r="AK73" s="19">
        <v>0</v>
      </c>
      <c r="AL73" s="144">
        <f>'[90]Lubricant Cluster Summary'!$AR$6</f>
        <v>-7306.2508814999983</v>
      </c>
      <c r="AM73" s="134">
        <f>'[90]Lubricant Cluster Summary'!$AS$6</f>
        <v>-3633.5921866289677</v>
      </c>
      <c r="AN73" s="13">
        <f t="shared" si="9"/>
        <v>-3672.6586948710305</v>
      </c>
      <c r="AO73" s="244">
        <f t="shared" si="10"/>
        <v>-1.0107514839958709</v>
      </c>
      <c r="AP73" s="88" t="s">
        <v>157</v>
      </c>
      <c r="AQ73" s="43"/>
      <c r="AR73" s="1">
        <f t="shared" si="11"/>
        <v>936.75000000000091</v>
      </c>
      <c r="AS73" s="1">
        <f t="shared" si="12"/>
        <v>0</v>
      </c>
      <c r="AT73" s="1">
        <f t="shared" si="13"/>
        <v>0</v>
      </c>
      <c r="AU73" s="1">
        <f t="shared" si="14"/>
        <v>0</v>
      </c>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c r="FJ73" s="22"/>
      <c r="FK73" s="22"/>
      <c r="FL73" s="22"/>
      <c r="FM73" s="22"/>
      <c r="FN73" s="22"/>
      <c r="FO73" s="22"/>
      <c r="FP73" s="22"/>
      <c r="FQ73" s="22"/>
      <c r="FR73" s="22"/>
      <c r="FS73" s="22"/>
      <c r="FT73" s="22"/>
      <c r="FU73" s="22"/>
      <c r="FV73" s="22"/>
      <c r="FW73" s="22"/>
      <c r="FX73" s="22"/>
      <c r="FY73" s="22"/>
      <c r="FZ73" s="22"/>
      <c r="GA73" s="22"/>
      <c r="GB73" s="22"/>
      <c r="GC73" s="22"/>
      <c r="GD73" s="22"/>
      <c r="GE73" s="22"/>
      <c r="GF73" s="22"/>
      <c r="GG73" s="22"/>
      <c r="GH73" s="22"/>
      <c r="GI73" s="22"/>
      <c r="GJ73" s="22"/>
      <c r="GK73" s="22"/>
      <c r="GL73" s="22"/>
      <c r="GM73" s="22"/>
      <c r="GN73" s="22"/>
      <c r="GO73" s="22"/>
      <c r="GP73" s="22"/>
      <c r="GQ73" s="22"/>
      <c r="GR73" s="22"/>
      <c r="GS73" s="22"/>
      <c r="GT73" s="22"/>
      <c r="GU73" s="22"/>
      <c r="GV73" s="22"/>
      <c r="GW73" s="22"/>
      <c r="GX73" s="22"/>
      <c r="GY73" s="22"/>
      <c r="GZ73" s="22"/>
      <c r="HA73" s="22"/>
      <c r="HB73" s="22"/>
      <c r="HC73" s="22"/>
      <c r="HD73" s="22"/>
      <c r="HE73" s="22"/>
      <c r="HF73" s="22"/>
      <c r="HG73" s="22"/>
      <c r="HH73" s="22"/>
      <c r="HI73" s="22"/>
      <c r="HJ73" s="22"/>
      <c r="HK73" s="22"/>
      <c r="HL73" s="22"/>
      <c r="HM73" s="22"/>
      <c r="HN73" s="22"/>
      <c r="HO73" s="22"/>
      <c r="HP73" s="22"/>
      <c r="HQ73" s="22"/>
      <c r="HR73" s="22"/>
      <c r="HS73" s="22"/>
      <c r="HT73" s="22"/>
      <c r="HU73" s="22"/>
      <c r="HV73" s="22"/>
      <c r="HW73" s="22"/>
      <c r="HX73" s="22"/>
      <c r="HY73" s="22"/>
      <c r="HZ73" s="22"/>
      <c r="IA73" s="22"/>
      <c r="IB73" s="22"/>
      <c r="IC73" s="22"/>
      <c r="ID73" s="22"/>
      <c r="IE73" s="22"/>
      <c r="IF73" s="22"/>
      <c r="IG73" s="22"/>
      <c r="IH73" s="22"/>
      <c r="II73" s="22"/>
      <c r="IJ73" s="22"/>
      <c r="IK73" s="22"/>
      <c r="IL73" s="22"/>
      <c r="IM73" s="22"/>
      <c r="IN73" s="22"/>
      <c r="IO73" s="22"/>
      <c r="IP73" s="22"/>
      <c r="IQ73" s="22"/>
      <c r="IR73" s="22"/>
      <c r="IS73" s="22"/>
      <c r="IT73" s="22"/>
      <c r="IU73" s="22"/>
      <c r="IV73" s="22"/>
      <c r="IW73" s="22"/>
      <c r="IX73" s="22"/>
      <c r="IY73" s="22"/>
      <c r="IZ73" s="22"/>
      <c r="JA73" s="22"/>
      <c r="JB73" s="22"/>
      <c r="JC73" s="22"/>
      <c r="JD73" s="22"/>
      <c r="JE73" s="22"/>
      <c r="JJ73" s="22"/>
      <c r="JK73" s="22"/>
      <c r="JL73" s="22"/>
      <c r="JM73" s="22"/>
      <c r="JN73" s="22"/>
      <c r="JO73" s="22"/>
      <c r="JP73" s="22"/>
      <c r="JQ73" s="22"/>
      <c r="JR73" s="22"/>
      <c r="JS73" s="22"/>
      <c r="JT73" s="22"/>
      <c r="JU73" s="22"/>
      <c r="JV73" s="22"/>
      <c r="JW73" s="22"/>
      <c r="JX73" s="22"/>
      <c r="JY73" s="22"/>
      <c r="JZ73" s="22"/>
      <c r="KA73" s="22"/>
      <c r="KB73" s="22"/>
      <c r="KC73" s="22"/>
      <c r="KD73" s="22"/>
      <c r="KE73" s="22"/>
      <c r="KF73" s="22"/>
      <c r="KG73" s="22"/>
      <c r="KH73" s="22"/>
      <c r="KI73" s="22"/>
      <c r="KJ73" s="22"/>
      <c r="KK73" s="22"/>
      <c r="KL73" s="22"/>
      <c r="KM73" s="22"/>
      <c r="KN73" s="22"/>
      <c r="KO73" s="22"/>
      <c r="KP73" s="22"/>
      <c r="KQ73" s="22"/>
      <c r="KR73" s="22"/>
      <c r="KS73" s="22"/>
      <c r="KT73" s="22"/>
      <c r="KU73" s="22"/>
      <c r="KV73" s="22"/>
      <c r="KW73" s="22"/>
      <c r="KX73" s="22"/>
      <c r="KY73" s="22"/>
      <c r="KZ73" s="22"/>
      <c r="LA73" s="22"/>
      <c r="LB73" s="22"/>
      <c r="LC73" s="22"/>
      <c r="LD73" s="22"/>
      <c r="LE73" s="22"/>
      <c r="LF73" s="22"/>
      <c r="LG73" s="22"/>
      <c r="LH73" s="22"/>
      <c r="LI73" s="22"/>
      <c r="LJ73" s="22"/>
      <c r="LK73" s="22"/>
      <c r="LL73" s="22"/>
      <c r="LM73" s="22"/>
      <c r="LN73" s="22"/>
      <c r="LO73" s="22"/>
      <c r="LP73" s="22"/>
      <c r="LQ73" s="22"/>
      <c r="LR73" s="22"/>
      <c r="LS73" s="22"/>
      <c r="LT73" s="22"/>
      <c r="LU73" s="22"/>
      <c r="LV73" s="22"/>
      <c r="LW73" s="22"/>
      <c r="LX73" s="22"/>
      <c r="LY73" s="22"/>
      <c r="LZ73" s="22"/>
      <c r="MA73" s="22"/>
      <c r="MB73" s="22"/>
      <c r="MC73" s="22"/>
      <c r="MD73" s="22"/>
      <c r="ME73" s="22"/>
      <c r="MF73" s="22"/>
      <c r="MG73" s="22"/>
      <c r="MH73" s="22"/>
      <c r="MI73" s="22"/>
      <c r="MJ73" s="22"/>
      <c r="MK73" s="22"/>
      <c r="ML73" s="22"/>
      <c r="MM73" s="22"/>
      <c r="MN73" s="22"/>
      <c r="MO73" s="22"/>
      <c r="MP73" s="22"/>
      <c r="MQ73" s="22"/>
      <c r="MR73" s="22"/>
      <c r="MS73" s="22"/>
      <c r="MT73" s="22"/>
      <c r="MU73" s="22"/>
      <c r="MV73" s="22"/>
      <c r="MW73" s="22"/>
      <c r="MX73" s="22"/>
      <c r="MY73" s="22"/>
      <c r="MZ73" s="22"/>
      <c r="NA73" s="22"/>
      <c r="NB73" s="22"/>
      <c r="NC73" s="22"/>
      <c r="ND73" s="22"/>
      <c r="NE73" s="22"/>
      <c r="NF73" s="22"/>
      <c r="NG73" s="22"/>
      <c r="NH73" s="22"/>
      <c r="NI73" s="22"/>
      <c r="NJ73" s="22"/>
      <c r="NK73" s="22"/>
      <c r="NL73" s="22"/>
      <c r="NM73" s="22"/>
      <c r="NN73" s="22"/>
      <c r="NO73" s="22"/>
      <c r="NP73" s="22"/>
      <c r="NQ73" s="22"/>
      <c r="NR73" s="22"/>
      <c r="NS73" s="22"/>
      <c r="NT73" s="22"/>
      <c r="NU73" s="22"/>
      <c r="NV73" s="22"/>
      <c r="NW73" s="22"/>
      <c r="NX73" s="22"/>
      <c r="NY73" s="22"/>
      <c r="NZ73" s="22"/>
      <c r="OA73" s="22"/>
      <c r="OB73" s="22"/>
      <c r="OC73" s="22"/>
      <c r="OD73" s="22"/>
      <c r="OE73" s="22"/>
      <c r="OF73" s="22"/>
      <c r="OG73" s="22"/>
      <c r="OH73" s="22"/>
      <c r="OI73" s="22"/>
      <c r="OJ73" s="22"/>
      <c r="OK73" s="22"/>
      <c r="OL73" s="22"/>
      <c r="OM73" s="22"/>
      <c r="ON73" s="22"/>
      <c r="OO73" s="22"/>
      <c r="OP73" s="22"/>
      <c r="OQ73" s="22"/>
      <c r="OR73" s="22"/>
      <c r="OS73" s="22"/>
      <c r="OT73" s="22"/>
      <c r="OU73" s="22"/>
      <c r="OV73" s="22"/>
      <c r="OW73" s="22"/>
      <c r="OX73" s="22"/>
      <c r="OY73" s="22"/>
      <c r="OZ73" s="22"/>
      <c r="PA73" s="22"/>
      <c r="PB73" s="22"/>
      <c r="PC73" s="22"/>
      <c r="PD73" s="22"/>
      <c r="PE73" s="22"/>
      <c r="PF73" s="22"/>
      <c r="PG73" s="22"/>
      <c r="PH73" s="22"/>
      <c r="PI73" s="22"/>
      <c r="PJ73" s="22"/>
      <c r="PK73" s="22"/>
      <c r="PL73" s="22"/>
      <c r="PM73" s="22"/>
      <c r="PN73" s="22"/>
      <c r="PO73" s="22"/>
      <c r="PP73" s="22"/>
      <c r="PQ73" s="22"/>
      <c r="PR73" s="22"/>
      <c r="PS73" s="22"/>
      <c r="PT73" s="22"/>
      <c r="PU73" s="22"/>
      <c r="PV73" s="22"/>
      <c r="PW73" s="22"/>
      <c r="PX73" s="22"/>
      <c r="PY73" s="22"/>
      <c r="PZ73" s="22"/>
      <c r="QA73" s="22"/>
      <c r="QB73" s="22"/>
      <c r="QC73" s="22"/>
      <c r="QD73" s="22"/>
      <c r="QE73" s="22"/>
      <c r="QF73" s="22"/>
      <c r="QG73" s="22"/>
      <c r="QH73" s="22"/>
      <c r="QI73" s="22"/>
      <c r="QJ73" s="22"/>
      <c r="QK73" s="22"/>
      <c r="QL73" s="22"/>
      <c r="QM73" s="22"/>
      <c r="QN73" s="22"/>
      <c r="QO73" s="22"/>
      <c r="QP73" s="22"/>
      <c r="QQ73" s="22"/>
      <c r="QR73" s="22"/>
      <c r="QS73" s="22"/>
      <c r="QT73" s="22"/>
      <c r="QU73" s="22"/>
      <c r="QV73" s="22"/>
      <c r="QW73" s="22"/>
      <c r="QX73" s="22"/>
      <c r="QY73" s="22"/>
      <c r="QZ73" s="22"/>
      <c r="RA73" s="22"/>
      <c r="RB73" s="22"/>
      <c r="RC73" s="22"/>
      <c r="RD73" s="22"/>
      <c r="RE73" s="22"/>
      <c r="RF73" s="22"/>
      <c r="RG73" s="22"/>
      <c r="RH73" s="22"/>
      <c r="RI73" s="22"/>
      <c r="RJ73" s="22"/>
      <c r="RK73" s="22"/>
      <c r="RL73" s="22"/>
      <c r="RM73" s="22"/>
      <c r="RN73" s="22"/>
      <c r="RO73" s="22"/>
      <c r="RP73" s="22"/>
      <c r="RQ73" s="22"/>
      <c r="RR73" s="22"/>
      <c r="RS73" s="22"/>
      <c r="RT73" s="22"/>
      <c r="RU73" s="22"/>
      <c r="RV73" s="22"/>
      <c r="RW73" s="22"/>
      <c r="RX73" s="22"/>
      <c r="RY73" s="22"/>
      <c r="RZ73" s="22"/>
      <c r="SA73" s="22"/>
      <c r="SB73" s="22"/>
      <c r="SC73" s="22"/>
      <c r="SD73" s="22"/>
      <c r="SE73" s="22"/>
      <c r="SF73" s="22"/>
      <c r="SG73" s="22"/>
      <c r="SH73" s="22"/>
      <c r="SI73" s="22"/>
      <c r="SJ73" s="22"/>
      <c r="SK73" s="22"/>
      <c r="SL73" s="22"/>
      <c r="SM73" s="22"/>
      <c r="SN73" s="22"/>
      <c r="SO73" s="22"/>
      <c r="SP73" s="22"/>
      <c r="SQ73" s="22"/>
      <c r="SR73" s="22"/>
      <c r="SS73" s="22"/>
      <c r="ST73" s="22"/>
      <c r="SU73" s="22"/>
      <c r="SV73" s="22"/>
      <c r="SW73" s="22"/>
      <c r="SX73" s="22"/>
      <c r="SY73" s="22"/>
      <c r="SZ73" s="22"/>
      <c r="TA73" s="22"/>
      <c r="TB73" s="22"/>
      <c r="TC73" s="22"/>
      <c r="TD73" s="22"/>
      <c r="TE73" s="22"/>
      <c r="TF73" s="22"/>
      <c r="TG73" s="22"/>
      <c r="TH73" s="22"/>
      <c r="TI73" s="22"/>
      <c r="TJ73" s="22"/>
      <c r="TK73" s="22"/>
      <c r="TL73" s="22"/>
      <c r="TM73" s="22"/>
      <c r="TN73" s="22"/>
      <c r="TO73" s="22"/>
      <c r="TP73" s="22"/>
      <c r="TQ73" s="22"/>
      <c r="TR73" s="22"/>
      <c r="TS73" s="22"/>
      <c r="TT73" s="22"/>
      <c r="TU73" s="22"/>
      <c r="TV73" s="22"/>
      <c r="TW73" s="22"/>
      <c r="TX73" s="22"/>
      <c r="TY73" s="22"/>
      <c r="TZ73" s="22"/>
      <c r="UA73" s="22"/>
      <c r="UB73" s="22"/>
      <c r="UC73" s="22"/>
      <c r="UD73" s="22"/>
      <c r="UE73" s="22"/>
      <c r="UF73" s="22"/>
      <c r="UG73" s="22"/>
      <c r="UH73" s="22"/>
      <c r="UI73" s="22"/>
      <c r="UJ73" s="22"/>
      <c r="UK73" s="22"/>
      <c r="UL73" s="22"/>
      <c r="UM73" s="22"/>
      <c r="UN73" s="22"/>
      <c r="UO73" s="22"/>
      <c r="UP73" s="22"/>
      <c r="UQ73" s="22"/>
      <c r="UR73" s="22"/>
      <c r="US73" s="22"/>
      <c r="UT73" s="22"/>
      <c r="UU73" s="22"/>
      <c r="UV73" s="22"/>
      <c r="UW73" s="22"/>
      <c r="UX73" s="22"/>
      <c r="UY73" s="22"/>
      <c r="UZ73" s="22"/>
      <c r="VA73" s="22"/>
      <c r="VB73" s="22"/>
      <c r="VC73" s="22"/>
      <c r="VD73" s="22"/>
      <c r="VE73" s="22"/>
      <c r="VF73" s="22"/>
      <c r="VG73" s="22"/>
      <c r="VH73" s="22"/>
      <c r="VI73" s="22"/>
      <c r="VJ73" s="22"/>
      <c r="VK73" s="22"/>
      <c r="VL73" s="22"/>
      <c r="VM73" s="22"/>
      <c r="VN73" s="22"/>
      <c r="VO73" s="22"/>
      <c r="VP73" s="22"/>
      <c r="VQ73" s="22"/>
      <c r="VR73" s="22"/>
      <c r="VS73" s="22"/>
      <c r="VT73" s="22"/>
      <c r="VU73" s="22"/>
      <c r="VV73" s="22"/>
      <c r="VW73" s="22"/>
      <c r="VX73" s="22"/>
      <c r="VY73" s="22"/>
      <c r="VZ73" s="22"/>
      <c r="WA73" s="22"/>
      <c r="WB73" s="22"/>
      <c r="WC73" s="22"/>
      <c r="WD73" s="22"/>
      <c r="WE73" s="22"/>
      <c r="WF73" s="22"/>
      <c r="WG73" s="22"/>
      <c r="WH73" s="22"/>
      <c r="WI73" s="22"/>
      <c r="WJ73" s="22"/>
      <c r="WK73" s="22"/>
      <c r="WL73" s="22"/>
      <c r="WM73" s="22"/>
      <c r="WN73" s="22"/>
      <c r="WO73" s="22"/>
      <c r="WP73" s="22"/>
      <c r="WQ73" s="22"/>
      <c r="WR73" s="22"/>
      <c r="WS73" s="22"/>
      <c r="WT73" s="22"/>
      <c r="WU73" s="22"/>
      <c r="WV73" s="22"/>
      <c r="WW73" s="22"/>
      <c r="WX73" s="22"/>
      <c r="WY73" s="22"/>
      <c r="WZ73" s="22"/>
      <c r="XA73" s="22"/>
      <c r="XB73" s="22"/>
      <c r="XC73" s="22"/>
      <c r="XD73" s="22"/>
      <c r="XE73" s="22"/>
      <c r="XF73" s="22"/>
      <c r="XG73" s="22"/>
      <c r="XH73" s="22"/>
      <c r="XI73" s="22"/>
      <c r="XJ73" s="22"/>
      <c r="XK73" s="22"/>
      <c r="XL73" s="22"/>
      <c r="XM73" s="22"/>
      <c r="XN73" s="22"/>
      <c r="XO73" s="22"/>
      <c r="XP73" s="22"/>
      <c r="XQ73" s="22"/>
      <c r="XR73" s="22"/>
      <c r="XS73" s="22"/>
      <c r="XT73" s="22"/>
      <c r="XU73" s="22"/>
      <c r="XV73" s="22"/>
      <c r="XW73" s="22"/>
      <c r="XX73" s="22"/>
      <c r="XY73" s="22"/>
      <c r="XZ73" s="22"/>
      <c r="YA73" s="22"/>
      <c r="YB73" s="22"/>
      <c r="YC73" s="22"/>
      <c r="YD73" s="22"/>
      <c r="YE73" s="22"/>
      <c r="YF73" s="22"/>
      <c r="YG73" s="22"/>
      <c r="YH73" s="22"/>
      <c r="YI73" s="22"/>
      <c r="YJ73" s="22"/>
      <c r="YK73" s="22"/>
      <c r="YL73" s="22"/>
      <c r="YM73" s="22"/>
      <c r="YN73" s="22"/>
      <c r="YO73" s="22"/>
      <c r="YP73" s="22"/>
      <c r="YQ73" s="22"/>
      <c r="YR73" s="22"/>
      <c r="YS73" s="22"/>
      <c r="YT73" s="22"/>
      <c r="YU73" s="22"/>
      <c r="YV73" s="22"/>
      <c r="YW73" s="22"/>
      <c r="YX73" s="22"/>
      <c r="YY73" s="22"/>
      <c r="YZ73" s="22"/>
      <c r="ZA73" s="22"/>
      <c r="ZB73" s="22"/>
      <c r="ZC73" s="22"/>
      <c r="ZD73" s="22"/>
      <c r="ZE73" s="22"/>
      <c r="ZF73" s="22"/>
      <c r="ZG73" s="22"/>
      <c r="ZH73" s="22"/>
      <c r="ZI73" s="22"/>
      <c r="ZJ73" s="22"/>
      <c r="ZK73" s="22"/>
      <c r="ZL73" s="22"/>
      <c r="ZM73" s="22"/>
      <c r="ZN73" s="22"/>
      <c r="ZO73" s="22"/>
      <c r="ZP73" s="22"/>
      <c r="ZQ73" s="22"/>
      <c r="ZR73" s="22"/>
      <c r="ZS73" s="22"/>
      <c r="ZT73" s="22"/>
      <c r="ZU73" s="22"/>
      <c r="ZV73" s="22"/>
      <c r="ZW73" s="22"/>
      <c r="ZX73" s="22"/>
      <c r="ZY73" s="22"/>
      <c r="ZZ73" s="22"/>
      <c r="AAA73" s="22"/>
      <c r="AAB73" s="22"/>
      <c r="AAC73" s="22"/>
      <c r="AAD73" s="22"/>
      <c r="AAE73" s="22"/>
      <c r="AAF73" s="22"/>
      <c r="AAG73" s="22"/>
      <c r="AAH73" s="22"/>
      <c r="AAI73" s="22"/>
      <c r="AAJ73" s="22"/>
      <c r="AAK73" s="22"/>
      <c r="AAL73" s="22"/>
      <c r="AAM73" s="22"/>
      <c r="AAN73" s="22"/>
      <c r="AAO73" s="22"/>
      <c r="AAP73" s="22"/>
      <c r="AAQ73" s="22"/>
      <c r="AAR73" s="22"/>
      <c r="AAS73" s="22"/>
      <c r="AAT73" s="22"/>
      <c r="AAU73" s="22"/>
      <c r="AAV73" s="22"/>
      <c r="AAW73" s="22"/>
      <c r="AAX73" s="22"/>
      <c r="AAY73" s="22"/>
      <c r="AAZ73" s="22"/>
      <c r="ABA73" s="22"/>
      <c r="ABB73" s="22"/>
      <c r="ABC73" s="22"/>
    </row>
    <row r="74" spans="1:731" ht="15" customHeight="1" x14ac:dyDescent="0.3">
      <c r="A74" s="405"/>
      <c r="B74" s="398"/>
      <c r="C74" s="78"/>
      <c r="D74" s="243" t="s">
        <v>11</v>
      </c>
      <c r="E74" s="79" t="s">
        <v>83</v>
      </c>
      <c r="F74" s="105">
        <f t="shared" si="75"/>
        <v>8.3448786388840244</v>
      </c>
      <c r="G74" s="58">
        <f t="shared" si="76"/>
        <v>41.839050053572393</v>
      </c>
      <c r="H74" s="52">
        <f t="shared" si="78"/>
        <v>-33.494171414688367</v>
      </c>
      <c r="I74" s="14">
        <f t="shared" si="1"/>
        <v>-0.80054808538437394</v>
      </c>
      <c r="J74" s="15">
        <f>'[90]Lubricant Cluster Summary'!$H$7</f>
        <v>2491.2065899999998</v>
      </c>
      <c r="K74" s="16">
        <f>'[90]Lubricant Cluster Summary'!$I$7</f>
        <v>12490.2615991475</v>
      </c>
      <c r="L74" s="52">
        <f t="shared" si="77"/>
        <v>-9999.0550091474997</v>
      </c>
      <c r="M74" s="14">
        <f t="shared" si="21"/>
        <v>-0.80054808538437394</v>
      </c>
      <c r="N74" s="15">
        <f>'[90]Lubricant Cluster Summary'!$L$7</f>
        <v>422.15655999999984</v>
      </c>
      <c r="O74" s="16">
        <f>'[90]Lubricant Cluster Summary'!$M$7</f>
        <v>2686.4148597685976</v>
      </c>
      <c r="P74" s="52">
        <f t="shared" si="66"/>
        <v>-2264.2582997685977</v>
      </c>
      <c r="Q74" s="14">
        <f t="shared" si="2"/>
        <v>-0.84285503839255727</v>
      </c>
      <c r="R74" s="15">
        <f>'[90]Lubricant Cluster Summary'!$R$7</f>
        <v>0.54103000000000001</v>
      </c>
      <c r="S74" s="74">
        <f>'[90]Lubricant Cluster Summary'!$S$7</f>
        <v>0</v>
      </c>
      <c r="T74" s="52">
        <f t="shared" si="79"/>
        <v>0.54103000000000001</v>
      </c>
      <c r="U74" s="14" t="str">
        <f t="shared" si="80"/>
        <v/>
      </c>
      <c r="V74" s="15">
        <f>'[90]Lubricant Cluster Summary'!$V$7</f>
        <v>2135.6455499999997</v>
      </c>
      <c r="W74" s="74">
        <f>'[90]Lubricant Cluster Summary'!$W$7</f>
        <v>4647.5179270720473</v>
      </c>
      <c r="X74" s="52">
        <f t="shared" si="81"/>
        <v>-2511.8723770720476</v>
      </c>
      <c r="Y74" s="14">
        <f t="shared" si="4"/>
        <v>-0.5404761028333539</v>
      </c>
      <c r="Z74" s="15">
        <f>'[90]Lubricant Cluster Summary'!$AD$7</f>
        <v>-1712.94796</v>
      </c>
      <c r="AA74" s="16">
        <f>'[90]Lubricant Cluster Summary'!$AE$7</f>
        <v>-1961.1030673034497</v>
      </c>
      <c r="AB74" s="52">
        <f t="shared" si="82"/>
        <v>248.15510730344977</v>
      </c>
      <c r="AC74" s="19">
        <f t="shared" si="5"/>
        <v>0.1265385340734117</v>
      </c>
      <c r="AD74" s="126">
        <v>0</v>
      </c>
      <c r="AE74" s="139">
        <v>0</v>
      </c>
      <c r="AF74" s="108">
        <f t="shared" si="6"/>
        <v>0</v>
      </c>
      <c r="AG74" s="113">
        <v>0</v>
      </c>
      <c r="AH74" s="141">
        <v>0</v>
      </c>
      <c r="AI74" s="128">
        <v>0</v>
      </c>
      <c r="AJ74" s="108">
        <f t="shared" si="8"/>
        <v>0</v>
      </c>
      <c r="AK74" s="19">
        <v>0</v>
      </c>
      <c r="AL74" s="144">
        <f>'[90]Lubricant Cluster Summary'!$AR$7</f>
        <v>-1712.94796</v>
      </c>
      <c r="AM74" s="134">
        <f>'[90]Lubricant Cluster Summary'!$AS$7</f>
        <v>-1961.1030673034497</v>
      </c>
      <c r="AN74" s="13">
        <f t="shared" si="9"/>
        <v>248.15510730344977</v>
      </c>
      <c r="AO74" s="244">
        <f t="shared" si="10"/>
        <v>0.1265385340734117</v>
      </c>
      <c r="AP74" s="89"/>
      <c r="AQ74" s="43"/>
      <c r="AR74" s="1">
        <f t="shared" si="11"/>
        <v>0</v>
      </c>
      <c r="AS74" s="1">
        <f t="shared" si="12"/>
        <v>0</v>
      </c>
      <c r="AT74" s="1">
        <f t="shared" si="13"/>
        <v>0</v>
      </c>
      <c r="AU74" s="1">
        <f t="shared" si="14"/>
        <v>0</v>
      </c>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22"/>
      <c r="GQ74" s="22"/>
      <c r="GR74" s="22"/>
      <c r="GS74" s="22"/>
      <c r="GT74" s="22"/>
      <c r="GU74" s="22"/>
      <c r="GV74" s="22"/>
      <c r="GW74" s="22"/>
      <c r="GX74" s="22"/>
      <c r="GY74" s="22"/>
      <c r="GZ74" s="22"/>
      <c r="HA74" s="22"/>
      <c r="HB74" s="22"/>
      <c r="HC74" s="22"/>
      <c r="HD74" s="22"/>
      <c r="HE74" s="22"/>
      <c r="HF74" s="22"/>
      <c r="HG74" s="22"/>
      <c r="HH74" s="22"/>
      <c r="HI74" s="22"/>
      <c r="HJ74" s="22"/>
      <c r="HK74" s="22"/>
      <c r="HL74" s="22"/>
      <c r="HM74" s="22"/>
      <c r="HN74" s="22"/>
      <c r="HO74" s="22"/>
      <c r="HP74" s="22"/>
      <c r="HQ74" s="22"/>
      <c r="HR74" s="22"/>
      <c r="HS74" s="22"/>
      <c r="HT74" s="22"/>
      <c r="HU74" s="22"/>
      <c r="HV74" s="22"/>
      <c r="HW74" s="22"/>
      <c r="HX74" s="22"/>
      <c r="HY74" s="22"/>
      <c r="HZ74" s="22"/>
      <c r="IA74" s="22"/>
      <c r="IB74" s="22"/>
      <c r="IC74" s="22"/>
      <c r="ID74" s="22"/>
      <c r="IE74" s="22"/>
      <c r="IF74" s="22"/>
      <c r="IG74" s="22"/>
      <c r="IH74" s="22"/>
      <c r="II74" s="22"/>
      <c r="IJ74" s="22"/>
      <c r="IK74" s="22"/>
      <c r="IL74" s="22"/>
      <c r="IM74" s="22"/>
      <c r="IN74" s="22"/>
      <c r="IO74" s="22"/>
      <c r="IP74" s="22"/>
      <c r="IQ74" s="22"/>
      <c r="IR74" s="22"/>
      <c r="IS74" s="22"/>
      <c r="IT74" s="22"/>
      <c r="IU74" s="22"/>
      <c r="IV74" s="22"/>
      <c r="IW74" s="22"/>
      <c r="IX74" s="22"/>
      <c r="IY74" s="22"/>
      <c r="IZ74" s="22"/>
      <c r="JA74" s="22"/>
      <c r="JB74" s="22"/>
      <c r="JC74" s="22"/>
      <c r="JD74" s="22"/>
      <c r="JE74" s="22"/>
      <c r="JJ74" s="22"/>
      <c r="JK74" s="22"/>
      <c r="JL74" s="22"/>
      <c r="JM74" s="22"/>
      <c r="JN74" s="22"/>
      <c r="JO74" s="22"/>
      <c r="JP74" s="22"/>
      <c r="JQ74" s="22"/>
      <c r="JR74" s="22"/>
      <c r="JS74" s="22"/>
      <c r="JT74" s="22"/>
      <c r="JU74" s="22"/>
      <c r="JV74" s="22"/>
      <c r="JW74" s="22"/>
      <c r="JX74" s="22"/>
      <c r="JY74" s="22"/>
      <c r="JZ74" s="22"/>
      <c r="KA74" s="22"/>
      <c r="KB74" s="22"/>
      <c r="KC74" s="22"/>
      <c r="KD74" s="22"/>
      <c r="KE74" s="22"/>
      <c r="KF74" s="22"/>
      <c r="KG74" s="22"/>
      <c r="KH74" s="22"/>
      <c r="KI74" s="22"/>
      <c r="KJ74" s="22"/>
      <c r="KK74" s="22"/>
      <c r="KL74" s="22"/>
      <c r="KM74" s="22"/>
      <c r="KN74" s="22"/>
      <c r="KO74" s="22"/>
      <c r="KP74" s="22"/>
      <c r="KQ74" s="22"/>
      <c r="KR74" s="22"/>
      <c r="KS74" s="22"/>
      <c r="KT74" s="22"/>
      <c r="KU74" s="22"/>
      <c r="KV74" s="22"/>
      <c r="KW74" s="22"/>
      <c r="KX74" s="22"/>
      <c r="KY74" s="22"/>
      <c r="KZ74" s="22"/>
      <c r="LA74" s="22"/>
      <c r="LB74" s="22"/>
      <c r="LC74" s="22"/>
      <c r="LD74" s="22"/>
      <c r="LE74" s="22"/>
      <c r="LF74" s="22"/>
      <c r="LG74" s="22"/>
      <c r="LH74" s="22"/>
      <c r="LI74" s="22"/>
      <c r="LJ74" s="22"/>
      <c r="LK74" s="22"/>
      <c r="LL74" s="22"/>
      <c r="LM74" s="22"/>
      <c r="LN74" s="22"/>
      <c r="LO74" s="22"/>
      <c r="LP74" s="22"/>
      <c r="LQ74" s="22"/>
      <c r="LR74" s="22"/>
      <c r="LS74" s="22"/>
      <c r="LT74" s="22"/>
      <c r="LU74" s="22"/>
      <c r="LV74" s="22"/>
      <c r="LW74" s="22"/>
      <c r="LX74" s="22"/>
      <c r="LY74" s="22"/>
      <c r="LZ74" s="22"/>
      <c r="MA74" s="22"/>
      <c r="MB74" s="22"/>
      <c r="MC74" s="22"/>
      <c r="MD74" s="22"/>
      <c r="ME74" s="22"/>
      <c r="MF74" s="22"/>
      <c r="MG74" s="22"/>
      <c r="MH74" s="22"/>
      <c r="MI74" s="22"/>
      <c r="MJ74" s="22"/>
      <c r="MK74" s="22"/>
      <c r="ML74" s="22"/>
      <c r="MM74" s="22"/>
      <c r="MN74" s="22"/>
      <c r="MO74" s="22"/>
      <c r="MP74" s="22"/>
      <c r="MQ74" s="22"/>
      <c r="MR74" s="22"/>
      <c r="MS74" s="22"/>
      <c r="MT74" s="22"/>
      <c r="MU74" s="22"/>
      <c r="MV74" s="22"/>
      <c r="MW74" s="22"/>
      <c r="MX74" s="22"/>
      <c r="MY74" s="22"/>
      <c r="MZ74" s="22"/>
      <c r="NA74" s="22"/>
      <c r="NB74" s="22"/>
      <c r="NC74" s="22"/>
      <c r="ND74" s="22"/>
      <c r="NE74" s="22"/>
      <c r="NF74" s="22"/>
      <c r="NG74" s="22"/>
      <c r="NH74" s="22"/>
      <c r="NI74" s="22"/>
      <c r="NJ74" s="22"/>
      <c r="NK74" s="22"/>
      <c r="NL74" s="22"/>
      <c r="NM74" s="22"/>
      <c r="NN74" s="22"/>
      <c r="NO74" s="22"/>
      <c r="NP74" s="22"/>
      <c r="NQ74" s="22"/>
      <c r="NR74" s="22"/>
      <c r="NS74" s="22"/>
      <c r="NT74" s="22"/>
      <c r="NU74" s="22"/>
      <c r="NV74" s="22"/>
      <c r="NW74" s="22"/>
      <c r="NX74" s="22"/>
      <c r="NY74" s="22"/>
      <c r="NZ74" s="22"/>
      <c r="OA74" s="22"/>
      <c r="OB74" s="22"/>
      <c r="OC74" s="22"/>
      <c r="OD74" s="22"/>
      <c r="OE74" s="22"/>
      <c r="OF74" s="22"/>
      <c r="OG74" s="22"/>
      <c r="OH74" s="22"/>
      <c r="OI74" s="22"/>
      <c r="OJ74" s="22"/>
      <c r="OK74" s="22"/>
      <c r="OL74" s="22"/>
      <c r="OM74" s="22"/>
      <c r="ON74" s="22"/>
      <c r="OO74" s="22"/>
      <c r="OP74" s="22"/>
      <c r="OQ74" s="22"/>
      <c r="OR74" s="22"/>
      <c r="OS74" s="22"/>
      <c r="OT74" s="22"/>
      <c r="OU74" s="22"/>
      <c r="OV74" s="22"/>
      <c r="OW74" s="22"/>
      <c r="OX74" s="22"/>
      <c r="OY74" s="22"/>
      <c r="OZ74" s="22"/>
      <c r="PA74" s="22"/>
      <c r="PB74" s="22"/>
      <c r="PC74" s="22"/>
      <c r="PD74" s="22"/>
      <c r="PE74" s="22"/>
      <c r="PF74" s="22"/>
      <c r="PG74" s="22"/>
      <c r="PH74" s="22"/>
      <c r="PI74" s="22"/>
      <c r="PJ74" s="22"/>
      <c r="PK74" s="22"/>
      <c r="PL74" s="22"/>
      <c r="PM74" s="22"/>
      <c r="PN74" s="22"/>
      <c r="PO74" s="22"/>
      <c r="PP74" s="22"/>
      <c r="PQ74" s="22"/>
      <c r="PR74" s="22"/>
      <c r="PS74" s="22"/>
      <c r="PT74" s="22"/>
      <c r="PU74" s="22"/>
      <c r="PV74" s="22"/>
      <c r="PW74" s="22"/>
      <c r="PX74" s="22"/>
      <c r="PY74" s="22"/>
      <c r="PZ74" s="22"/>
      <c r="QA74" s="22"/>
      <c r="QB74" s="22"/>
      <c r="QC74" s="22"/>
      <c r="QD74" s="22"/>
      <c r="QE74" s="22"/>
      <c r="QF74" s="22"/>
      <c r="QG74" s="22"/>
      <c r="QH74" s="22"/>
      <c r="QI74" s="22"/>
      <c r="QJ74" s="22"/>
      <c r="QK74" s="22"/>
      <c r="QL74" s="22"/>
      <c r="QM74" s="22"/>
      <c r="QN74" s="22"/>
      <c r="QO74" s="22"/>
      <c r="QP74" s="22"/>
      <c r="QQ74" s="22"/>
      <c r="QR74" s="22"/>
      <c r="QS74" s="22"/>
      <c r="QT74" s="22"/>
      <c r="QU74" s="22"/>
      <c r="QV74" s="22"/>
      <c r="QW74" s="22"/>
      <c r="QX74" s="22"/>
      <c r="QY74" s="22"/>
      <c r="QZ74" s="22"/>
      <c r="RA74" s="22"/>
      <c r="RB74" s="22"/>
      <c r="RC74" s="22"/>
      <c r="RD74" s="22"/>
      <c r="RE74" s="22"/>
      <c r="RF74" s="22"/>
      <c r="RG74" s="22"/>
      <c r="RH74" s="22"/>
      <c r="RI74" s="22"/>
      <c r="RJ74" s="22"/>
      <c r="RK74" s="22"/>
      <c r="RL74" s="22"/>
      <c r="RM74" s="22"/>
      <c r="RN74" s="22"/>
      <c r="RO74" s="22"/>
      <c r="RP74" s="22"/>
      <c r="RQ74" s="22"/>
      <c r="RR74" s="22"/>
      <c r="RS74" s="22"/>
      <c r="RT74" s="22"/>
      <c r="RU74" s="22"/>
      <c r="RV74" s="22"/>
      <c r="RW74" s="22"/>
      <c r="RX74" s="22"/>
      <c r="RY74" s="22"/>
      <c r="RZ74" s="22"/>
      <c r="SA74" s="22"/>
      <c r="SB74" s="22"/>
      <c r="SC74" s="22"/>
      <c r="SD74" s="22"/>
      <c r="SE74" s="22"/>
      <c r="SF74" s="22"/>
      <c r="SG74" s="22"/>
      <c r="SH74" s="22"/>
      <c r="SI74" s="22"/>
      <c r="SJ74" s="22"/>
      <c r="SK74" s="22"/>
      <c r="SL74" s="22"/>
      <c r="SM74" s="22"/>
      <c r="SN74" s="22"/>
      <c r="SO74" s="22"/>
      <c r="SP74" s="22"/>
      <c r="SQ74" s="22"/>
      <c r="SR74" s="22"/>
      <c r="SS74" s="22"/>
      <c r="ST74" s="22"/>
      <c r="SU74" s="22"/>
      <c r="SV74" s="22"/>
      <c r="SW74" s="22"/>
      <c r="SX74" s="22"/>
      <c r="SY74" s="22"/>
      <c r="SZ74" s="22"/>
      <c r="TA74" s="22"/>
      <c r="TB74" s="22"/>
      <c r="TC74" s="22"/>
      <c r="TD74" s="22"/>
      <c r="TE74" s="22"/>
      <c r="TF74" s="22"/>
      <c r="TG74" s="22"/>
      <c r="TH74" s="22"/>
      <c r="TI74" s="22"/>
      <c r="TJ74" s="22"/>
      <c r="TK74" s="22"/>
      <c r="TL74" s="22"/>
      <c r="TM74" s="22"/>
      <c r="TN74" s="22"/>
      <c r="TO74" s="22"/>
      <c r="TP74" s="22"/>
      <c r="TQ74" s="22"/>
      <c r="TR74" s="22"/>
      <c r="TS74" s="22"/>
      <c r="TT74" s="22"/>
      <c r="TU74" s="22"/>
      <c r="TV74" s="22"/>
      <c r="TW74" s="22"/>
      <c r="TX74" s="22"/>
      <c r="TY74" s="22"/>
      <c r="TZ74" s="22"/>
      <c r="UA74" s="22"/>
      <c r="UB74" s="22"/>
      <c r="UC74" s="22"/>
      <c r="UD74" s="22"/>
      <c r="UE74" s="22"/>
      <c r="UF74" s="22"/>
      <c r="UG74" s="22"/>
      <c r="UH74" s="22"/>
      <c r="UI74" s="22"/>
      <c r="UJ74" s="22"/>
      <c r="UK74" s="22"/>
      <c r="UL74" s="22"/>
      <c r="UM74" s="22"/>
      <c r="UN74" s="22"/>
      <c r="UO74" s="22"/>
      <c r="UP74" s="22"/>
      <c r="UQ74" s="22"/>
      <c r="UR74" s="22"/>
      <c r="US74" s="22"/>
      <c r="UT74" s="22"/>
      <c r="UU74" s="22"/>
      <c r="UV74" s="22"/>
      <c r="UW74" s="22"/>
      <c r="UX74" s="22"/>
      <c r="UY74" s="22"/>
      <c r="UZ74" s="22"/>
      <c r="VA74" s="22"/>
      <c r="VB74" s="22"/>
      <c r="VC74" s="22"/>
      <c r="VD74" s="22"/>
      <c r="VE74" s="22"/>
      <c r="VF74" s="22"/>
      <c r="VG74" s="22"/>
      <c r="VH74" s="22"/>
      <c r="VI74" s="22"/>
      <c r="VJ74" s="22"/>
      <c r="VK74" s="22"/>
      <c r="VL74" s="22"/>
      <c r="VM74" s="22"/>
      <c r="VN74" s="22"/>
      <c r="VO74" s="22"/>
      <c r="VP74" s="22"/>
      <c r="VQ74" s="22"/>
      <c r="VR74" s="22"/>
      <c r="VS74" s="22"/>
      <c r="VT74" s="22"/>
      <c r="VU74" s="22"/>
      <c r="VV74" s="22"/>
      <c r="VW74" s="22"/>
      <c r="VX74" s="22"/>
      <c r="VY74" s="22"/>
      <c r="VZ74" s="22"/>
      <c r="WA74" s="22"/>
      <c r="WB74" s="22"/>
      <c r="WC74" s="22"/>
      <c r="WD74" s="22"/>
      <c r="WE74" s="22"/>
      <c r="WF74" s="22"/>
      <c r="WG74" s="22"/>
      <c r="WH74" s="22"/>
      <c r="WI74" s="22"/>
      <c r="WJ74" s="22"/>
      <c r="WK74" s="22"/>
      <c r="WL74" s="22"/>
      <c r="WM74" s="22"/>
      <c r="WN74" s="22"/>
      <c r="WO74" s="22"/>
      <c r="WP74" s="22"/>
      <c r="WQ74" s="22"/>
      <c r="WR74" s="22"/>
      <c r="WS74" s="22"/>
      <c r="WT74" s="22"/>
      <c r="WU74" s="22"/>
      <c r="WV74" s="22"/>
      <c r="WW74" s="22"/>
      <c r="WX74" s="22"/>
      <c r="WY74" s="22"/>
      <c r="WZ74" s="22"/>
      <c r="XA74" s="22"/>
      <c r="XB74" s="22"/>
      <c r="XC74" s="22"/>
      <c r="XD74" s="22"/>
      <c r="XE74" s="22"/>
      <c r="XF74" s="22"/>
      <c r="XG74" s="22"/>
      <c r="XH74" s="22"/>
      <c r="XI74" s="22"/>
      <c r="XJ74" s="22"/>
      <c r="XK74" s="22"/>
      <c r="XL74" s="22"/>
      <c r="XM74" s="22"/>
      <c r="XN74" s="22"/>
      <c r="XO74" s="22"/>
      <c r="XP74" s="22"/>
      <c r="XQ74" s="22"/>
      <c r="XR74" s="22"/>
      <c r="XS74" s="22"/>
      <c r="XT74" s="22"/>
      <c r="XU74" s="22"/>
      <c r="XV74" s="22"/>
      <c r="XW74" s="22"/>
      <c r="XX74" s="22"/>
      <c r="XY74" s="22"/>
      <c r="XZ74" s="22"/>
      <c r="YA74" s="22"/>
      <c r="YB74" s="22"/>
      <c r="YC74" s="22"/>
      <c r="YD74" s="22"/>
      <c r="YE74" s="22"/>
      <c r="YF74" s="22"/>
      <c r="YG74" s="22"/>
      <c r="YH74" s="22"/>
      <c r="YI74" s="22"/>
      <c r="YJ74" s="22"/>
      <c r="YK74" s="22"/>
      <c r="YL74" s="22"/>
      <c r="YM74" s="22"/>
      <c r="YN74" s="22"/>
      <c r="YO74" s="22"/>
      <c r="YP74" s="22"/>
      <c r="YQ74" s="22"/>
      <c r="YR74" s="22"/>
      <c r="YS74" s="22"/>
      <c r="YT74" s="22"/>
      <c r="YU74" s="22"/>
      <c r="YV74" s="22"/>
      <c r="YW74" s="22"/>
      <c r="YX74" s="22"/>
      <c r="YY74" s="22"/>
      <c r="YZ74" s="22"/>
      <c r="ZA74" s="22"/>
      <c r="ZB74" s="22"/>
      <c r="ZC74" s="22"/>
      <c r="ZD74" s="22"/>
      <c r="ZE74" s="22"/>
      <c r="ZF74" s="22"/>
      <c r="ZG74" s="22"/>
      <c r="ZH74" s="22"/>
      <c r="ZI74" s="22"/>
      <c r="ZJ74" s="22"/>
      <c r="ZK74" s="22"/>
      <c r="ZL74" s="22"/>
      <c r="ZM74" s="22"/>
      <c r="ZN74" s="22"/>
      <c r="ZO74" s="22"/>
      <c r="ZP74" s="22"/>
      <c r="ZQ74" s="22"/>
      <c r="ZR74" s="22"/>
      <c r="ZS74" s="22"/>
      <c r="ZT74" s="22"/>
      <c r="ZU74" s="22"/>
      <c r="ZV74" s="22"/>
      <c r="ZW74" s="22"/>
      <c r="ZX74" s="22"/>
      <c r="ZY74" s="22"/>
      <c r="ZZ74" s="22"/>
      <c r="AAA74" s="22"/>
      <c r="AAB74" s="22"/>
      <c r="AAC74" s="22"/>
      <c r="AAD74" s="22"/>
      <c r="AAE74" s="22"/>
      <c r="AAF74" s="22"/>
      <c r="AAG74" s="22"/>
      <c r="AAH74" s="22"/>
      <c r="AAI74" s="22"/>
      <c r="AAJ74" s="22"/>
      <c r="AAK74" s="22"/>
      <c r="AAL74" s="22"/>
      <c r="AAM74" s="22"/>
      <c r="AAN74" s="22"/>
      <c r="AAO74" s="22"/>
      <c r="AAP74" s="22"/>
      <c r="AAQ74" s="22"/>
      <c r="AAR74" s="22"/>
      <c r="AAS74" s="22"/>
      <c r="AAT74" s="22"/>
      <c r="AAU74" s="22"/>
      <c r="AAV74" s="22"/>
      <c r="AAW74" s="22"/>
      <c r="AAX74" s="22"/>
      <c r="AAY74" s="22"/>
      <c r="AAZ74" s="22"/>
      <c r="ABA74" s="22"/>
      <c r="ABB74" s="22"/>
      <c r="ABC74" s="22"/>
    </row>
    <row r="75" spans="1:731" ht="15" customHeight="1" x14ac:dyDescent="0.3">
      <c r="A75" s="405"/>
      <c r="B75" s="45"/>
      <c r="C75" s="78"/>
      <c r="D75" s="243" t="s">
        <v>11</v>
      </c>
      <c r="E75" s="63" t="s">
        <v>84</v>
      </c>
      <c r="F75" s="105">
        <f t="shared" si="75"/>
        <v>0</v>
      </c>
      <c r="G75" s="58">
        <f t="shared" si="76"/>
        <v>0</v>
      </c>
      <c r="H75" s="52">
        <f t="shared" si="78"/>
        <v>0</v>
      </c>
      <c r="I75" s="14" t="str">
        <f t="shared" si="1"/>
        <v/>
      </c>
      <c r="J75" s="15">
        <v>0</v>
      </c>
      <c r="K75" s="16">
        <v>0</v>
      </c>
      <c r="L75" s="52">
        <f t="shared" si="77"/>
        <v>0</v>
      </c>
      <c r="M75" s="14">
        <v>0</v>
      </c>
      <c r="N75" s="15">
        <v>0</v>
      </c>
      <c r="O75" s="16">
        <v>0</v>
      </c>
      <c r="P75" s="52">
        <f t="shared" si="66"/>
        <v>0</v>
      </c>
      <c r="Q75" s="14">
        <v>0</v>
      </c>
      <c r="R75" s="15">
        <f>'[90]Lubricant Cluster Summary'!$R$8</f>
        <v>162.48573000000002</v>
      </c>
      <c r="S75" s="16">
        <f>'[90]Lubricant Cluster Summary'!$S$8</f>
        <v>162.48573000000002</v>
      </c>
      <c r="T75" s="52">
        <f t="shared" si="79"/>
        <v>0</v>
      </c>
      <c r="U75" s="14">
        <f t="shared" si="80"/>
        <v>0</v>
      </c>
      <c r="V75" s="15">
        <f>0</f>
        <v>0</v>
      </c>
      <c r="W75" s="16">
        <f>0</f>
        <v>0</v>
      </c>
      <c r="X75" s="52">
        <f t="shared" si="81"/>
        <v>0</v>
      </c>
      <c r="Y75" s="14" t="str">
        <f t="shared" si="4"/>
        <v/>
      </c>
      <c r="Z75" s="15">
        <f>'[90]Lubricant Cluster Summary'!$AD$8</f>
        <v>162.38573000000002</v>
      </c>
      <c r="AA75" s="16">
        <f>'[90]Lubricant Cluster Summary'!$AE$8</f>
        <v>162.38573000000002</v>
      </c>
      <c r="AB75" s="52">
        <f t="shared" si="82"/>
        <v>0</v>
      </c>
      <c r="AC75" s="19">
        <f t="shared" si="5"/>
        <v>0</v>
      </c>
      <c r="AD75" s="126">
        <v>0</v>
      </c>
      <c r="AE75" s="139">
        <v>0</v>
      </c>
      <c r="AF75" s="108">
        <f t="shared" si="6"/>
        <v>0</v>
      </c>
      <c r="AG75" s="113">
        <v>0</v>
      </c>
      <c r="AH75" s="141">
        <v>0</v>
      </c>
      <c r="AI75" s="128">
        <v>0</v>
      </c>
      <c r="AJ75" s="108">
        <f t="shared" si="8"/>
        <v>0</v>
      </c>
      <c r="AK75" s="19">
        <v>0</v>
      </c>
      <c r="AL75" s="144">
        <f>'[90]Lubricant Cluster Summary'!$AR$8</f>
        <v>162.38573000000002</v>
      </c>
      <c r="AM75" s="134">
        <f>'[90]Lubricant Cluster Summary'!$AS$8</f>
        <v>162.38573000000002</v>
      </c>
      <c r="AN75" s="13">
        <f t="shared" si="9"/>
        <v>0</v>
      </c>
      <c r="AO75" s="244">
        <f t="shared" si="10"/>
        <v>0</v>
      </c>
      <c r="AP75" s="321"/>
      <c r="AQ75" s="43"/>
      <c r="AR75" s="1">
        <f t="shared" si="11"/>
        <v>9.9999999999994316E-2</v>
      </c>
      <c r="AS75" s="1">
        <f t="shared" si="12"/>
        <v>9.9999999999994316E-2</v>
      </c>
      <c r="AT75" s="1">
        <f t="shared" si="13"/>
        <v>0</v>
      </c>
      <c r="AU75" s="1">
        <f t="shared" si="14"/>
        <v>0</v>
      </c>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22"/>
      <c r="FQ75" s="22"/>
      <c r="FR75" s="22"/>
      <c r="FS75" s="22"/>
      <c r="FT75" s="22"/>
      <c r="FU75" s="22"/>
      <c r="FV75" s="22"/>
      <c r="FW75" s="22"/>
      <c r="FX75" s="22"/>
      <c r="FY75" s="22"/>
      <c r="FZ75" s="22"/>
      <c r="GA75" s="22"/>
      <c r="GB75" s="22"/>
      <c r="GC75" s="22"/>
      <c r="GD75" s="22"/>
      <c r="GE75" s="22"/>
      <c r="GF75" s="22"/>
      <c r="GG75" s="22"/>
      <c r="GH75" s="22"/>
      <c r="GI75" s="22"/>
      <c r="GJ75" s="22"/>
      <c r="GK75" s="22"/>
      <c r="GL75" s="22"/>
      <c r="GM75" s="22"/>
      <c r="GN75" s="22"/>
      <c r="GO75" s="22"/>
      <c r="GP75" s="22"/>
      <c r="GQ75" s="22"/>
      <c r="GR75" s="22"/>
      <c r="GS75" s="22"/>
      <c r="GT75" s="22"/>
      <c r="GU75" s="22"/>
      <c r="GV75" s="22"/>
      <c r="GW75" s="22"/>
      <c r="GX75" s="22"/>
      <c r="GY75" s="22"/>
      <c r="GZ75" s="22"/>
      <c r="HA75" s="22"/>
      <c r="HB75" s="22"/>
      <c r="HC75" s="22"/>
      <c r="HD75" s="22"/>
      <c r="HE75" s="22"/>
      <c r="HF75" s="22"/>
      <c r="HG75" s="22"/>
      <c r="HH75" s="22"/>
      <c r="HI75" s="22"/>
      <c r="HJ75" s="22"/>
      <c r="HK75" s="22"/>
      <c r="HL75" s="22"/>
      <c r="HM75" s="22"/>
      <c r="HN75" s="22"/>
      <c r="HO75" s="22"/>
      <c r="HP75" s="22"/>
      <c r="HQ75" s="22"/>
      <c r="HR75" s="22"/>
      <c r="HS75" s="22"/>
      <c r="HT75" s="22"/>
      <c r="HU75" s="22"/>
      <c r="HV75" s="22"/>
      <c r="HW75" s="22"/>
      <c r="HX75" s="22"/>
      <c r="HY75" s="22"/>
      <c r="HZ75" s="22"/>
      <c r="IA75" s="22"/>
      <c r="IB75" s="22"/>
      <c r="IC75" s="22"/>
      <c r="ID75" s="22"/>
      <c r="IE75" s="22"/>
      <c r="IF75" s="22"/>
      <c r="IG75" s="22"/>
      <c r="IH75" s="22"/>
      <c r="II75" s="22"/>
      <c r="IJ75" s="22"/>
      <c r="IK75" s="22"/>
      <c r="IL75" s="22"/>
      <c r="IM75" s="22"/>
      <c r="IN75" s="22"/>
      <c r="IO75" s="22"/>
      <c r="IP75" s="22"/>
      <c r="IQ75" s="22"/>
      <c r="IR75" s="22"/>
      <c r="IS75" s="22"/>
      <c r="IT75" s="22"/>
      <c r="IU75" s="22"/>
      <c r="IV75" s="22"/>
      <c r="IW75" s="22"/>
      <c r="IX75" s="22"/>
      <c r="IY75" s="22"/>
      <c r="IZ75" s="22"/>
      <c r="JA75" s="22"/>
      <c r="JB75" s="22"/>
      <c r="JC75" s="22"/>
      <c r="JD75" s="22"/>
      <c r="JE75" s="22"/>
      <c r="JJ75" s="22"/>
      <c r="JK75" s="22"/>
      <c r="JL75" s="22"/>
      <c r="JM75" s="22"/>
      <c r="JN75" s="22"/>
      <c r="JO75" s="22"/>
      <c r="JP75" s="22"/>
      <c r="JQ75" s="22"/>
      <c r="JR75" s="22"/>
      <c r="JS75" s="22"/>
      <c r="JT75" s="22"/>
      <c r="JU75" s="22"/>
      <c r="JV75" s="22"/>
      <c r="JW75" s="22"/>
      <c r="JX75" s="22"/>
      <c r="JY75" s="22"/>
      <c r="JZ75" s="22"/>
      <c r="KA75" s="22"/>
      <c r="KB75" s="22"/>
      <c r="KC75" s="22"/>
      <c r="KD75" s="22"/>
      <c r="KE75" s="22"/>
      <c r="KF75" s="22"/>
      <c r="KG75" s="22"/>
      <c r="KH75" s="22"/>
      <c r="KI75" s="22"/>
      <c r="KJ75" s="22"/>
      <c r="KK75" s="22"/>
      <c r="KL75" s="22"/>
      <c r="KM75" s="22"/>
      <c r="KN75" s="22"/>
      <c r="KO75" s="22"/>
      <c r="KP75" s="22"/>
      <c r="KQ75" s="22"/>
      <c r="KR75" s="22"/>
      <c r="KS75" s="22"/>
      <c r="KT75" s="22"/>
      <c r="KU75" s="22"/>
      <c r="KV75" s="22"/>
      <c r="KW75" s="22"/>
      <c r="KX75" s="22"/>
      <c r="KY75" s="22"/>
      <c r="KZ75" s="22"/>
      <c r="LA75" s="22"/>
      <c r="LB75" s="22"/>
      <c r="LC75" s="22"/>
      <c r="LD75" s="22"/>
      <c r="LE75" s="22"/>
      <c r="LF75" s="22"/>
      <c r="LG75" s="22"/>
      <c r="LH75" s="22"/>
      <c r="LI75" s="22"/>
      <c r="LJ75" s="22"/>
      <c r="LK75" s="22"/>
      <c r="LL75" s="22"/>
      <c r="LM75" s="22"/>
      <c r="LN75" s="22"/>
      <c r="LO75" s="22"/>
      <c r="LP75" s="22"/>
      <c r="LQ75" s="22"/>
      <c r="LR75" s="22"/>
      <c r="LS75" s="22"/>
      <c r="LT75" s="22"/>
      <c r="LU75" s="22"/>
      <c r="LV75" s="22"/>
      <c r="LW75" s="22"/>
      <c r="LX75" s="22"/>
      <c r="LY75" s="22"/>
      <c r="LZ75" s="22"/>
      <c r="MA75" s="22"/>
      <c r="MB75" s="22"/>
      <c r="MC75" s="22"/>
      <c r="MD75" s="22"/>
      <c r="ME75" s="22"/>
      <c r="MF75" s="22"/>
      <c r="MG75" s="22"/>
      <c r="MH75" s="22"/>
      <c r="MI75" s="22"/>
      <c r="MJ75" s="22"/>
      <c r="MK75" s="22"/>
      <c r="ML75" s="22"/>
      <c r="MM75" s="22"/>
      <c r="MN75" s="22"/>
      <c r="MO75" s="22"/>
      <c r="MP75" s="22"/>
      <c r="MQ75" s="22"/>
      <c r="MR75" s="22"/>
      <c r="MS75" s="22"/>
      <c r="MT75" s="22"/>
      <c r="MU75" s="22"/>
      <c r="MV75" s="22"/>
      <c r="MW75" s="22"/>
      <c r="MX75" s="22"/>
      <c r="MY75" s="22"/>
      <c r="MZ75" s="22"/>
      <c r="NA75" s="22"/>
      <c r="NB75" s="22"/>
      <c r="NC75" s="22"/>
      <c r="ND75" s="22"/>
      <c r="NE75" s="22"/>
      <c r="NF75" s="22"/>
      <c r="NG75" s="22"/>
      <c r="NH75" s="22"/>
      <c r="NI75" s="22"/>
      <c r="NJ75" s="22"/>
      <c r="NK75" s="22"/>
      <c r="NL75" s="22"/>
      <c r="NM75" s="22"/>
      <c r="NN75" s="22"/>
      <c r="NO75" s="22"/>
      <c r="NP75" s="22"/>
      <c r="NQ75" s="22"/>
      <c r="NR75" s="22"/>
      <c r="NS75" s="22"/>
      <c r="NT75" s="22"/>
      <c r="NU75" s="22"/>
      <c r="NV75" s="22"/>
      <c r="NW75" s="22"/>
      <c r="NX75" s="22"/>
      <c r="NY75" s="22"/>
      <c r="NZ75" s="22"/>
      <c r="OA75" s="22"/>
      <c r="OB75" s="22"/>
      <c r="OC75" s="22"/>
      <c r="OD75" s="22"/>
      <c r="OE75" s="22"/>
      <c r="OF75" s="22"/>
      <c r="OG75" s="22"/>
      <c r="OH75" s="22"/>
      <c r="OI75" s="22"/>
      <c r="OJ75" s="22"/>
      <c r="OK75" s="22"/>
      <c r="OL75" s="22"/>
      <c r="OM75" s="22"/>
      <c r="ON75" s="22"/>
      <c r="OO75" s="22"/>
      <c r="OP75" s="22"/>
      <c r="OQ75" s="22"/>
      <c r="OR75" s="22"/>
      <c r="OS75" s="22"/>
      <c r="OT75" s="22"/>
      <c r="OU75" s="22"/>
      <c r="OV75" s="22"/>
      <c r="OW75" s="22"/>
      <c r="OX75" s="22"/>
      <c r="OY75" s="22"/>
      <c r="OZ75" s="22"/>
      <c r="PA75" s="22"/>
      <c r="PB75" s="22"/>
      <c r="PC75" s="22"/>
      <c r="PD75" s="22"/>
      <c r="PE75" s="22"/>
      <c r="PF75" s="22"/>
      <c r="PG75" s="22"/>
      <c r="PH75" s="22"/>
      <c r="PI75" s="22"/>
      <c r="PJ75" s="22"/>
      <c r="PK75" s="22"/>
      <c r="PL75" s="22"/>
      <c r="PM75" s="22"/>
      <c r="PN75" s="22"/>
      <c r="PO75" s="22"/>
      <c r="PP75" s="22"/>
      <c r="PQ75" s="22"/>
      <c r="PR75" s="22"/>
      <c r="PS75" s="22"/>
      <c r="PT75" s="22"/>
      <c r="PU75" s="22"/>
      <c r="PV75" s="22"/>
      <c r="PW75" s="22"/>
      <c r="PX75" s="22"/>
      <c r="PY75" s="22"/>
      <c r="PZ75" s="22"/>
      <c r="QA75" s="22"/>
      <c r="QB75" s="22"/>
      <c r="QC75" s="22"/>
      <c r="QD75" s="22"/>
      <c r="QE75" s="22"/>
      <c r="QF75" s="22"/>
      <c r="QG75" s="22"/>
      <c r="QH75" s="22"/>
      <c r="QI75" s="22"/>
      <c r="QJ75" s="22"/>
      <c r="QK75" s="22"/>
      <c r="QL75" s="22"/>
      <c r="QM75" s="22"/>
      <c r="QN75" s="22"/>
      <c r="QO75" s="22"/>
      <c r="QP75" s="22"/>
      <c r="QQ75" s="22"/>
      <c r="QR75" s="22"/>
      <c r="QS75" s="22"/>
      <c r="QT75" s="22"/>
      <c r="QU75" s="22"/>
      <c r="QV75" s="22"/>
      <c r="QW75" s="22"/>
      <c r="QX75" s="22"/>
      <c r="QY75" s="22"/>
      <c r="QZ75" s="22"/>
      <c r="RA75" s="22"/>
      <c r="RB75" s="22"/>
      <c r="RC75" s="22"/>
      <c r="RD75" s="22"/>
      <c r="RE75" s="22"/>
      <c r="RF75" s="22"/>
      <c r="RG75" s="22"/>
      <c r="RH75" s="22"/>
      <c r="RI75" s="22"/>
      <c r="RJ75" s="22"/>
      <c r="RK75" s="22"/>
      <c r="RL75" s="22"/>
      <c r="RM75" s="22"/>
      <c r="RN75" s="22"/>
      <c r="RO75" s="22"/>
      <c r="RP75" s="22"/>
      <c r="RQ75" s="22"/>
      <c r="RR75" s="22"/>
      <c r="RS75" s="22"/>
      <c r="RT75" s="22"/>
      <c r="RU75" s="22"/>
      <c r="RV75" s="22"/>
      <c r="RW75" s="22"/>
      <c r="RX75" s="22"/>
      <c r="RY75" s="22"/>
      <c r="RZ75" s="22"/>
      <c r="SA75" s="22"/>
      <c r="SB75" s="22"/>
      <c r="SC75" s="22"/>
      <c r="SD75" s="22"/>
      <c r="SE75" s="22"/>
      <c r="SF75" s="22"/>
      <c r="SG75" s="22"/>
      <c r="SH75" s="22"/>
      <c r="SI75" s="22"/>
      <c r="SJ75" s="22"/>
      <c r="SK75" s="22"/>
      <c r="SL75" s="22"/>
      <c r="SM75" s="22"/>
      <c r="SN75" s="22"/>
      <c r="SO75" s="22"/>
      <c r="SP75" s="22"/>
      <c r="SQ75" s="22"/>
      <c r="SR75" s="22"/>
      <c r="SS75" s="22"/>
      <c r="ST75" s="22"/>
      <c r="SU75" s="22"/>
      <c r="SV75" s="22"/>
      <c r="SW75" s="22"/>
      <c r="SX75" s="22"/>
      <c r="SY75" s="22"/>
      <c r="SZ75" s="22"/>
      <c r="TA75" s="22"/>
      <c r="TB75" s="22"/>
      <c r="TC75" s="22"/>
      <c r="TD75" s="22"/>
      <c r="TE75" s="22"/>
      <c r="TF75" s="22"/>
      <c r="TG75" s="22"/>
      <c r="TH75" s="22"/>
      <c r="TI75" s="22"/>
      <c r="TJ75" s="22"/>
      <c r="TK75" s="22"/>
      <c r="TL75" s="22"/>
      <c r="TM75" s="22"/>
      <c r="TN75" s="22"/>
      <c r="TO75" s="22"/>
      <c r="TP75" s="22"/>
      <c r="TQ75" s="22"/>
      <c r="TR75" s="22"/>
      <c r="TS75" s="22"/>
      <c r="TT75" s="22"/>
      <c r="TU75" s="22"/>
      <c r="TV75" s="22"/>
      <c r="TW75" s="22"/>
      <c r="TX75" s="22"/>
      <c r="TY75" s="22"/>
      <c r="TZ75" s="22"/>
      <c r="UA75" s="22"/>
      <c r="UB75" s="22"/>
      <c r="UC75" s="22"/>
      <c r="UD75" s="22"/>
      <c r="UE75" s="22"/>
      <c r="UF75" s="22"/>
      <c r="UG75" s="22"/>
      <c r="UH75" s="22"/>
      <c r="UI75" s="22"/>
      <c r="UJ75" s="22"/>
      <c r="UK75" s="22"/>
      <c r="UL75" s="22"/>
      <c r="UM75" s="22"/>
      <c r="UN75" s="22"/>
      <c r="UO75" s="22"/>
      <c r="UP75" s="22"/>
      <c r="UQ75" s="22"/>
      <c r="UR75" s="22"/>
      <c r="US75" s="22"/>
      <c r="UT75" s="22"/>
      <c r="UU75" s="22"/>
      <c r="UV75" s="22"/>
      <c r="UW75" s="22"/>
      <c r="UX75" s="22"/>
      <c r="UY75" s="22"/>
      <c r="UZ75" s="22"/>
      <c r="VA75" s="22"/>
      <c r="VB75" s="22"/>
      <c r="VC75" s="22"/>
      <c r="VD75" s="22"/>
      <c r="VE75" s="22"/>
      <c r="VF75" s="22"/>
      <c r="VG75" s="22"/>
      <c r="VH75" s="22"/>
      <c r="VI75" s="22"/>
      <c r="VJ75" s="22"/>
      <c r="VK75" s="22"/>
      <c r="VL75" s="22"/>
      <c r="VM75" s="22"/>
      <c r="VN75" s="22"/>
      <c r="VO75" s="22"/>
      <c r="VP75" s="22"/>
      <c r="VQ75" s="22"/>
      <c r="VR75" s="22"/>
      <c r="VS75" s="22"/>
      <c r="VT75" s="22"/>
      <c r="VU75" s="22"/>
      <c r="VV75" s="22"/>
      <c r="VW75" s="22"/>
      <c r="VX75" s="22"/>
      <c r="VY75" s="22"/>
      <c r="VZ75" s="22"/>
      <c r="WA75" s="22"/>
      <c r="WB75" s="22"/>
      <c r="WC75" s="22"/>
      <c r="WD75" s="22"/>
      <c r="WE75" s="22"/>
      <c r="WF75" s="22"/>
      <c r="WG75" s="22"/>
      <c r="WH75" s="22"/>
      <c r="WI75" s="22"/>
      <c r="WJ75" s="22"/>
      <c r="WK75" s="22"/>
      <c r="WL75" s="22"/>
      <c r="WM75" s="22"/>
      <c r="WN75" s="22"/>
      <c r="WO75" s="22"/>
      <c r="WP75" s="22"/>
      <c r="WQ75" s="22"/>
      <c r="WR75" s="22"/>
      <c r="WS75" s="22"/>
      <c r="WT75" s="22"/>
      <c r="WU75" s="22"/>
      <c r="WV75" s="22"/>
      <c r="WW75" s="22"/>
      <c r="WX75" s="22"/>
      <c r="WY75" s="22"/>
      <c r="WZ75" s="22"/>
      <c r="XA75" s="22"/>
      <c r="XB75" s="22"/>
      <c r="XC75" s="22"/>
      <c r="XD75" s="22"/>
      <c r="XE75" s="22"/>
      <c r="XF75" s="22"/>
      <c r="XG75" s="22"/>
      <c r="XH75" s="22"/>
      <c r="XI75" s="22"/>
      <c r="XJ75" s="22"/>
      <c r="XK75" s="22"/>
      <c r="XL75" s="22"/>
      <c r="XM75" s="22"/>
      <c r="XN75" s="22"/>
      <c r="XO75" s="22"/>
      <c r="XP75" s="22"/>
      <c r="XQ75" s="22"/>
      <c r="XR75" s="22"/>
      <c r="XS75" s="22"/>
      <c r="XT75" s="22"/>
      <c r="XU75" s="22"/>
      <c r="XV75" s="22"/>
      <c r="XW75" s="22"/>
      <c r="XX75" s="22"/>
      <c r="XY75" s="22"/>
      <c r="XZ75" s="22"/>
      <c r="YA75" s="22"/>
      <c r="YB75" s="22"/>
      <c r="YC75" s="22"/>
      <c r="YD75" s="22"/>
      <c r="YE75" s="22"/>
      <c r="YF75" s="22"/>
      <c r="YG75" s="22"/>
      <c r="YH75" s="22"/>
      <c r="YI75" s="22"/>
      <c r="YJ75" s="22"/>
      <c r="YK75" s="22"/>
      <c r="YL75" s="22"/>
      <c r="YM75" s="22"/>
      <c r="YN75" s="22"/>
      <c r="YO75" s="22"/>
      <c r="YP75" s="22"/>
      <c r="YQ75" s="22"/>
      <c r="YR75" s="22"/>
      <c r="YS75" s="22"/>
      <c r="YT75" s="22"/>
      <c r="YU75" s="22"/>
      <c r="YV75" s="22"/>
      <c r="YW75" s="22"/>
      <c r="YX75" s="22"/>
      <c r="YY75" s="22"/>
      <c r="YZ75" s="22"/>
      <c r="ZA75" s="22"/>
      <c r="ZB75" s="22"/>
      <c r="ZC75" s="22"/>
      <c r="ZD75" s="22"/>
      <c r="ZE75" s="22"/>
      <c r="ZF75" s="22"/>
      <c r="ZG75" s="22"/>
      <c r="ZH75" s="22"/>
      <c r="ZI75" s="22"/>
      <c r="ZJ75" s="22"/>
      <c r="ZK75" s="22"/>
      <c r="ZL75" s="22"/>
      <c r="ZM75" s="22"/>
      <c r="ZN75" s="22"/>
      <c r="ZO75" s="22"/>
      <c r="ZP75" s="22"/>
      <c r="ZQ75" s="22"/>
      <c r="ZR75" s="22"/>
      <c r="ZS75" s="22"/>
      <c r="ZT75" s="22"/>
      <c r="ZU75" s="22"/>
      <c r="ZV75" s="22"/>
      <c r="ZW75" s="22"/>
      <c r="ZX75" s="22"/>
      <c r="ZY75" s="22"/>
      <c r="ZZ75" s="22"/>
      <c r="AAA75" s="22"/>
      <c r="AAB75" s="22"/>
      <c r="AAC75" s="22"/>
      <c r="AAD75" s="22"/>
      <c r="AAE75" s="22"/>
      <c r="AAF75" s="22"/>
      <c r="AAG75" s="22"/>
      <c r="AAH75" s="22"/>
      <c r="AAI75" s="22"/>
      <c r="AAJ75" s="22"/>
      <c r="AAK75" s="22"/>
      <c r="AAL75" s="22"/>
      <c r="AAM75" s="22"/>
      <c r="AAN75" s="22"/>
      <c r="AAO75" s="22"/>
      <c r="AAP75" s="22"/>
      <c r="AAQ75" s="22"/>
      <c r="AAR75" s="22"/>
      <c r="AAS75" s="22"/>
      <c r="AAT75" s="22"/>
      <c r="AAU75" s="22"/>
      <c r="AAV75" s="22"/>
      <c r="AAW75" s="22"/>
      <c r="AAX75" s="22"/>
      <c r="AAY75" s="22"/>
      <c r="AAZ75" s="22"/>
      <c r="ABA75" s="22"/>
      <c r="ABB75" s="22"/>
      <c r="ABC75" s="22"/>
    </row>
    <row r="76" spans="1:731" ht="15" customHeight="1" x14ac:dyDescent="0.3">
      <c r="A76" s="405"/>
      <c r="B76" s="398"/>
      <c r="C76" s="78"/>
      <c r="D76" s="243" t="s">
        <v>11</v>
      </c>
      <c r="E76" s="365" t="s">
        <v>81</v>
      </c>
      <c r="F76" s="105">
        <f>J76/$F$2</f>
        <v>0</v>
      </c>
      <c r="G76" s="58">
        <f>K76/$F$2</f>
        <v>0</v>
      </c>
      <c r="H76" s="52">
        <f>F76-G76</f>
        <v>0</v>
      </c>
      <c r="I76" s="14" t="str">
        <f>IFERROR(IF(G76&lt;0,-(F76-G76)/G76,(F76-G76)/G76),"")</f>
        <v/>
      </c>
      <c r="J76" s="15">
        <f>'[90]Lubricant Cluster Summary'!$D$10</f>
        <v>0</v>
      </c>
      <c r="K76" s="16">
        <f>J76</f>
        <v>0</v>
      </c>
      <c r="L76" s="52">
        <f>J76-K76</f>
        <v>0</v>
      </c>
      <c r="M76" s="14">
        <v>0</v>
      </c>
      <c r="N76" s="15">
        <f>J76</f>
        <v>0</v>
      </c>
      <c r="O76" s="16">
        <f>K76</f>
        <v>0</v>
      </c>
      <c r="P76" s="52">
        <f>N76-O76</f>
        <v>0</v>
      </c>
      <c r="Q76" s="14">
        <v>0</v>
      </c>
      <c r="R76" s="15"/>
      <c r="S76" s="16"/>
      <c r="T76" s="52">
        <f>R76-S76</f>
        <v>0</v>
      </c>
      <c r="U76" s="14" t="str">
        <f>IFERROR(IF(S76&lt;0,-(R76-S76)/S76,(R76-S76)/S76),"")</f>
        <v/>
      </c>
      <c r="V76" s="15">
        <v>0</v>
      </c>
      <c r="W76" s="16">
        <v>0</v>
      </c>
      <c r="X76" s="52">
        <f>V76-W76</f>
        <v>0</v>
      </c>
      <c r="Y76" s="14">
        <v>0</v>
      </c>
      <c r="Z76" s="83">
        <v>0</v>
      </c>
      <c r="AA76" s="16">
        <v>0</v>
      </c>
      <c r="AB76" s="52">
        <f>Z76-AA76</f>
        <v>0</v>
      </c>
      <c r="AC76" s="19">
        <v>0</v>
      </c>
      <c r="AD76" s="126">
        <v>0</v>
      </c>
      <c r="AE76" s="139">
        <v>0</v>
      </c>
      <c r="AF76" s="108">
        <f>AD76-AE76</f>
        <v>0</v>
      </c>
      <c r="AG76" s="113">
        <v>0</v>
      </c>
      <c r="AH76" s="141">
        <v>0</v>
      </c>
      <c r="AI76" s="128">
        <v>0</v>
      </c>
      <c r="AJ76" s="108">
        <f>AH76-AI76</f>
        <v>0</v>
      </c>
      <c r="AK76" s="19">
        <v>0</v>
      </c>
      <c r="AL76" s="141">
        <v>0</v>
      </c>
      <c r="AM76" s="135">
        <v>0</v>
      </c>
      <c r="AN76" s="13">
        <f>AL76-AM76</f>
        <v>0</v>
      </c>
      <c r="AO76" s="244">
        <v>0</v>
      </c>
      <c r="AP76" s="321"/>
      <c r="AQ76" s="43"/>
      <c r="AR76" s="1">
        <f>(N76+R76-V76)-Z76</f>
        <v>0</v>
      </c>
      <c r="AS76" s="1">
        <f>(O76+S76-W76)-AA76</f>
        <v>0</v>
      </c>
      <c r="AT76" s="1">
        <f>(Z76-AD76+AH76)-AL76</f>
        <v>0</v>
      </c>
      <c r="AU76" s="1">
        <f>(AA76-AE76+AI76)-AM76</f>
        <v>0</v>
      </c>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22"/>
      <c r="HT76" s="22"/>
      <c r="HU76" s="22"/>
      <c r="HV76" s="22"/>
      <c r="HW76" s="22"/>
      <c r="HX76" s="22"/>
      <c r="HY76" s="22"/>
      <c r="HZ76" s="22"/>
      <c r="IA76" s="22"/>
      <c r="IB76" s="22"/>
      <c r="IC76" s="22"/>
      <c r="ID76" s="22"/>
      <c r="IE76" s="22"/>
      <c r="IF76" s="22"/>
      <c r="IG76" s="22"/>
      <c r="IH76" s="22"/>
      <c r="II76" s="22"/>
      <c r="IJ76" s="22"/>
      <c r="IK76" s="22"/>
      <c r="IL76" s="22"/>
      <c r="IM76" s="22"/>
      <c r="IN76" s="22"/>
      <c r="IO76" s="22"/>
      <c r="IP76" s="22"/>
      <c r="IQ76" s="22"/>
      <c r="IR76" s="22"/>
      <c r="IS76" s="22"/>
      <c r="IT76" s="22"/>
      <c r="IU76" s="22"/>
      <c r="IV76" s="22"/>
      <c r="IW76" s="22"/>
      <c r="IX76" s="22"/>
      <c r="IY76" s="22"/>
      <c r="IZ76" s="22"/>
      <c r="JA76" s="22"/>
      <c r="JB76" s="22"/>
      <c r="JC76" s="22"/>
      <c r="JD76" s="22"/>
      <c r="JE76" s="22"/>
      <c r="JJ76" s="22"/>
      <c r="JK76" s="22"/>
      <c r="JL76" s="22"/>
      <c r="JM76" s="22"/>
      <c r="JN76" s="22"/>
      <c r="JO76" s="22"/>
      <c r="JP76" s="22"/>
      <c r="JQ76" s="22"/>
      <c r="JR76" s="22"/>
      <c r="JS76" s="22"/>
      <c r="JT76" s="22"/>
      <c r="JU76" s="22"/>
      <c r="JV76" s="22"/>
      <c r="JW76" s="22"/>
      <c r="JX76" s="22"/>
      <c r="JY76" s="22"/>
      <c r="JZ76" s="22"/>
      <c r="KA76" s="22"/>
      <c r="KB76" s="22"/>
      <c r="KC76" s="22"/>
      <c r="KD76" s="22"/>
      <c r="KE76" s="22"/>
      <c r="KF76" s="22"/>
      <c r="KG76" s="22"/>
      <c r="KH76" s="22"/>
      <c r="KI76" s="22"/>
      <c r="KJ76" s="22"/>
      <c r="KK76" s="22"/>
      <c r="KL76" s="22"/>
      <c r="KM76" s="22"/>
      <c r="KN76" s="22"/>
      <c r="KO76" s="22"/>
      <c r="KP76" s="22"/>
      <c r="KQ76" s="22"/>
      <c r="KR76" s="22"/>
      <c r="KS76" s="22"/>
      <c r="KT76" s="22"/>
      <c r="KU76" s="22"/>
      <c r="KV76" s="22"/>
      <c r="KW76" s="22"/>
      <c r="KX76" s="22"/>
      <c r="KY76" s="22"/>
      <c r="KZ76" s="22"/>
      <c r="LA76" s="22"/>
      <c r="LB76" s="22"/>
      <c r="LC76" s="22"/>
      <c r="LD76" s="22"/>
      <c r="LE76" s="22"/>
      <c r="LF76" s="22"/>
      <c r="LG76" s="22"/>
      <c r="LH76" s="22"/>
      <c r="LI76" s="22"/>
      <c r="LJ76" s="22"/>
      <c r="LK76" s="22"/>
      <c r="LL76" s="22"/>
      <c r="LM76" s="22"/>
      <c r="LN76" s="22"/>
      <c r="LO76" s="22"/>
      <c r="LP76" s="22"/>
      <c r="LQ76" s="22"/>
      <c r="LR76" s="22"/>
      <c r="LS76" s="22"/>
      <c r="LT76" s="22"/>
      <c r="LU76" s="22"/>
      <c r="LV76" s="22"/>
      <c r="LW76" s="22"/>
      <c r="LX76" s="22"/>
      <c r="LY76" s="22"/>
      <c r="LZ76" s="22"/>
      <c r="MA76" s="22"/>
      <c r="MB76" s="22"/>
      <c r="MC76" s="22"/>
      <c r="MD76" s="22"/>
      <c r="ME76" s="22"/>
      <c r="MF76" s="22"/>
      <c r="MG76" s="22"/>
      <c r="MH76" s="22"/>
      <c r="MI76" s="22"/>
      <c r="MJ76" s="22"/>
      <c r="MK76" s="22"/>
      <c r="ML76" s="22"/>
      <c r="MM76" s="22"/>
      <c r="MN76" s="22"/>
      <c r="MO76" s="22"/>
      <c r="MP76" s="22"/>
      <c r="MQ76" s="22"/>
      <c r="MR76" s="22"/>
      <c r="MS76" s="22"/>
      <c r="MT76" s="22"/>
      <c r="MU76" s="22"/>
      <c r="MV76" s="22"/>
      <c r="MW76" s="22"/>
      <c r="MX76" s="22"/>
      <c r="MY76" s="22"/>
      <c r="MZ76" s="22"/>
      <c r="NA76" s="22"/>
      <c r="NB76" s="22"/>
      <c r="NC76" s="22"/>
      <c r="ND76" s="22"/>
      <c r="NE76" s="22"/>
      <c r="NF76" s="22"/>
      <c r="NG76" s="22"/>
      <c r="NH76" s="22"/>
      <c r="NI76" s="22"/>
      <c r="NJ76" s="22"/>
      <c r="NK76" s="22"/>
      <c r="NL76" s="22"/>
      <c r="NM76" s="22"/>
      <c r="NN76" s="22"/>
      <c r="NO76" s="22"/>
      <c r="NP76" s="22"/>
      <c r="NQ76" s="22"/>
      <c r="NR76" s="22"/>
      <c r="NS76" s="22"/>
      <c r="NT76" s="22"/>
      <c r="NU76" s="22"/>
      <c r="NV76" s="22"/>
      <c r="NW76" s="22"/>
      <c r="NX76" s="22"/>
      <c r="NY76" s="22"/>
      <c r="NZ76" s="22"/>
      <c r="OA76" s="22"/>
      <c r="OB76" s="22"/>
      <c r="OC76" s="22"/>
      <c r="OD76" s="22"/>
      <c r="OE76" s="22"/>
      <c r="OF76" s="22"/>
      <c r="OG76" s="22"/>
      <c r="OH76" s="22"/>
      <c r="OI76" s="22"/>
      <c r="OJ76" s="22"/>
      <c r="OK76" s="22"/>
      <c r="OL76" s="22"/>
      <c r="OM76" s="22"/>
      <c r="ON76" s="22"/>
      <c r="OO76" s="22"/>
      <c r="OP76" s="22"/>
      <c r="OQ76" s="22"/>
      <c r="OR76" s="22"/>
      <c r="OS76" s="22"/>
      <c r="OT76" s="22"/>
      <c r="OU76" s="22"/>
      <c r="OV76" s="22"/>
      <c r="OW76" s="22"/>
      <c r="OX76" s="22"/>
      <c r="OY76" s="22"/>
      <c r="OZ76" s="22"/>
      <c r="PA76" s="22"/>
      <c r="PB76" s="22"/>
      <c r="PC76" s="22"/>
      <c r="PD76" s="22"/>
      <c r="PE76" s="22"/>
      <c r="PF76" s="22"/>
      <c r="PG76" s="22"/>
      <c r="PH76" s="22"/>
      <c r="PI76" s="22"/>
      <c r="PJ76" s="22"/>
      <c r="PK76" s="22"/>
      <c r="PL76" s="22"/>
      <c r="PM76" s="22"/>
      <c r="PN76" s="22"/>
      <c r="PO76" s="22"/>
      <c r="PP76" s="22"/>
      <c r="PQ76" s="22"/>
      <c r="PR76" s="22"/>
      <c r="PS76" s="22"/>
      <c r="PT76" s="22"/>
      <c r="PU76" s="22"/>
      <c r="PV76" s="22"/>
      <c r="PW76" s="22"/>
      <c r="PX76" s="22"/>
      <c r="PY76" s="22"/>
      <c r="PZ76" s="22"/>
      <c r="QA76" s="22"/>
      <c r="QB76" s="22"/>
      <c r="QC76" s="22"/>
      <c r="QD76" s="22"/>
      <c r="QE76" s="22"/>
      <c r="QF76" s="22"/>
      <c r="QG76" s="22"/>
      <c r="QH76" s="22"/>
      <c r="QI76" s="22"/>
      <c r="QJ76" s="22"/>
      <c r="QK76" s="22"/>
      <c r="QL76" s="22"/>
      <c r="QM76" s="22"/>
      <c r="QN76" s="22"/>
      <c r="QO76" s="22"/>
      <c r="QP76" s="22"/>
      <c r="QQ76" s="22"/>
      <c r="QR76" s="22"/>
      <c r="QS76" s="22"/>
      <c r="QT76" s="22"/>
      <c r="QU76" s="22"/>
      <c r="QV76" s="22"/>
      <c r="QW76" s="22"/>
      <c r="QX76" s="22"/>
      <c r="QY76" s="22"/>
      <c r="QZ76" s="22"/>
      <c r="RA76" s="22"/>
      <c r="RB76" s="22"/>
      <c r="RC76" s="22"/>
      <c r="RD76" s="22"/>
      <c r="RE76" s="22"/>
      <c r="RF76" s="22"/>
      <c r="RG76" s="22"/>
      <c r="RH76" s="22"/>
      <c r="RI76" s="22"/>
      <c r="RJ76" s="22"/>
      <c r="RK76" s="22"/>
      <c r="RL76" s="22"/>
      <c r="RM76" s="22"/>
      <c r="RN76" s="22"/>
      <c r="RO76" s="22"/>
      <c r="RP76" s="22"/>
      <c r="RQ76" s="22"/>
      <c r="RR76" s="22"/>
      <c r="RS76" s="22"/>
      <c r="RT76" s="22"/>
      <c r="RU76" s="22"/>
      <c r="RV76" s="22"/>
      <c r="RW76" s="22"/>
      <c r="RX76" s="22"/>
      <c r="RY76" s="22"/>
      <c r="RZ76" s="22"/>
      <c r="SA76" s="22"/>
      <c r="SB76" s="22"/>
      <c r="SC76" s="22"/>
      <c r="SD76" s="22"/>
      <c r="SE76" s="22"/>
      <c r="SF76" s="22"/>
      <c r="SG76" s="22"/>
      <c r="SH76" s="22"/>
      <c r="SI76" s="22"/>
      <c r="SJ76" s="22"/>
      <c r="SK76" s="22"/>
      <c r="SL76" s="22"/>
      <c r="SM76" s="22"/>
      <c r="SN76" s="22"/>
      <c r="SO76" s="22"/>
      <c r="SP76" s="22"/>
      <c r="SQ76" s="22"/>
      <c r="SR76" s="22"/>
      <c r="SS76" s="22"/>
      <c r="ST76" s="22"/>
      <c r="SU76" s="22"/>
      <c r="SV76" s="22"/>
      <c r="SW76" s="22"/>
      <c r="SX76" s="22"/>
      <c r="SY76" s="22"/>
      <c r="SZ76" s="22"/>
      <c r="TA76" s="22"/>
      <c r="TB76" s="22"/>
      <c r="TC76" s="22"/>
      <c r="TD76" s="22"/>
      <c r="TE76" s="22"/>
      <c r="TF76" s="22"/>
      <c r="TG76" s="22"/>
      <c r="TH76" s="22"/>
      <c r="TI76" s="22"/>
      <c r="TJ76" s="22"/>
      <c r="TK76" s="22"/>
      <c r="TL76" s="22"/>
      <c r="TM76" s="22"/>
      <c r="TN76" s="22"/>
      <c r="TO76" s="22"/>
      <c r="TP76" s="22"/>
      <c r="TQ76" s="22"/>
      <c r="TR76" s="22"/>
      <c r="TS76" s="22"/>
      <c r="TT76" s="22"/>
      <c r="TU76" s="22"/>
      <c r="TV76" s="22"/>
      <c r="TW76" s="22"/>
      <c r="TX76" s="22"/>
      <c r="TY76" s="22"/>
      <c r="TZ76" s="22"/>
      <c r="UA76" s="22"/>
      <c r="UB76" s="22"/>
      <c r="UC76" s="22"/>
      <c r="UD76" s="22"/>
      <c r="UE76" s="22"/>
      <c r="UF76" s="22"/>
      <c r="UG76" s="22"/>
      <c r="UH76" s="22"/>
      <c r="UI76" s="22"/>
      <c r="UJ76" s="22"/>
      <c r="UK76" s="22"/>
      <c r="UL76" s="22"/>
      <c r="UM76" s="22"/>
      <c r="UN76" s="22"/>
      <c r="UO76" s="22"/>
      <c r="UP76" s="22"/>
      <c r="UQ76" s="22"/>
      <c r="UR76" s="22"/>
      <c r="US76" s="22"/>
      <c r="UT76" s="22"/>
      <c r="UU76" s="22"/>
      <c r="UV76" s="22"/>
      <c r="UW76" s="22"/>
      <c r="UX76" s="22"/>
      <c r="UY76" s="22"/>
      <c r="UZ76" s="22"/>
      <c r="VA76" s="22"/>
      <c r="VB76" s="22"/>
      <c r="VC76" s="22"/>
      <c r="VD76" s="22"/>
      <c r="VE76" s="22"/>
      <c r="VF76" s="22"/>
      <c r="VG76" s="22"/>
      <c r="VH76" s="22"/>
      <c r="VI76" s="22"/>
      <c r="VJ76" s="22"/>
      <c r="VK76" s="22"/>
      <c r="VL76" s="22"/>
      <c r="VM76" s="22"/>
      <c r="VN76" s="22"/>
      <c r="VO76" s="22"/>
      <c r="VP76" s="22"/>
      <c r="VQ76" s="22"/>
      <c r="VR76" s="22"/>
      <c r="VS76" s="22"/>
      <c r="VT76" s="22"/>
      <c r="VU76" s="22"/>
      <c r="VV76" s="22"/>
      <c r="VW76" s="22"/>
      <c r="VX76" s="22"/>
      <c r="VY76" s="22"/>
      <c r="VZ76" s="22"/>
      <c r="WA76" s="22"/>
      <c r="WB76" s="22"/>
      <c r="WC76" s="22"/>
      <c r="WD76" s="22"/>
      <c r="WE76" s="22"/>
      <c r="WF76" s="22"/>
      <c r="WG76" s="22"/>
      <c r="WH76" s="22"/>
      <c r="WI76" s="22"/>
      <c r="WJ76" s="22"/>
      <c r="WK76" s="22"/>
      <c r="WL76" s="22"/>
      <c r="WM76" s="22"/>
      <c r="WN76" s="22"/>
      <c r="WO76" s="22"/>
      <c r="WP76" s="22"/>
      <c r="WQ76" s="22"/>
      <c r="WR76" s="22"/>
      <c r="WS76" s="22"/>
      <c r="WT76" s="22"/>
      <c r="WU76" s="22"/>
      <c r="WV76" s="22"/>
      <c r="WW76" s="22"/>
      <c r="WX76" s="22"/>
      <c r="WY76" s="22"/>
      <c r="WZ76" s="22"/>
      <c r="XA76" s="22"/>
      <c r="XB76" s="22"/>
      <c r="XC76" s="22"/>
      <c r="XD76" s="22"/>
      <c r="XE76" s="22"/>
      <c r="XF76" s="22"/>
      <c r="XG76" s="22"/>
      <c r="XH76" s="22"/>
      <c r="XI76" s="22"/>
      <c r="XJ76" s="22"/>
      <c r="XK76" s="22"/>
      <c r="XL76" s="22"/>
      <c r="XM76" s="22"/>
      <c r="XN76" s="22"/>
      <c r="XO76" s="22"/>
      <c r="XP76" s="22"/>
      <c r="XQ76" s="22"/>
      <c r="XR76" s="22"/>
      <c r="XS76" s="22"/>
      <c r="XT76" s="22"/>
      <c r="XU76" s="22"/>
      <c r="XV76" s="22"/>
      <c r="XW76" s="22"/>
      <c r="XX76" s="22"/>
      <c r="XY76" s="22"/>
      <c r="XZ76" s="22"/>
      <c r="YA76" s="22"/>
      <c r="YB76" s="22"/>
      <c r="YC76" s="22"/>
      <c r="YD76" s="22"/>
      <c r="YE76" s="22"/>
      <c r="YF76" s="22"/>
      <c r="YG76" s="22"/>
      <c r="YH76" s="22"/>
      <c r="YI76" s="22"/>
      <c r="YJ76" s="22"/>
      <c r="YK76" s="22"/>
      <c r="YL76" s="22"/>
      <c r="YM76" s="22"/>
      <c r="YN76" s="22"/>
      <c r="YO76" s="22"/>
      <c r="YP76" s="22"/>
      <c r="YQ76" s="22"/>
      <c r="YR76" s="22"/>
      <c r="YS76" s="22"/>
      <c r="YT76" s="22"/>
      <c r="YU76" s="22"/>
      <c r="YV76" s="22"/>
      <c r="YW76" s="22"/>
      <c r="YX76" s="22"/>
      <c r="YY76" s="22"/>
      <c r="YZ76" s="22"/>
      <c r="ZA76" s="22"/>
      <c r="ZB76" s="22"/>
      <c r="ZC76" s="22"/>
      <c r="ZD76" s="22"/>
      <c r="ZE76" s="22"/>
      <c r="ZF76" s="22"/>
      <c r="ZG76" s="22"/>
      <c r="ZH76" s="22"/>
      <c r="ZI76" s="22"/>
      <c r="ZJ76" s="22"/>
      <c r="ZK76" s="22"/>
      <c r="ZL76" s="22"/>
      <c r="ZM76" s="22"/>
      <c r="ZN76" s="22"/>
      <c r="ZO76" s="22"/>
      <c r="ZP76" s="22"/>
      <c r="ZQ76" s="22"/>
      <c r="ZR76" s="22"/>
      <c r="ZS76" s="22"/>
      <c r="ZT76" s="22"/>
      <c r="ZU76" s="22"/>
      <c r="ZV76" s="22"/>
      <c r="ZW76" s="22"/>
      <c r="ZX76" s="22"/>
      <c r="ZY76" s="22"/>
      <c r="ZZ76" s="22"/>
      <c r="AAA76" s="22"/>
      <c r="AAB76" s="22"/>
      <c r="AAC76" s="22"/>
      <c r="AAD76" s="22"/>
      <c r="AAE76" s="22"/>
      <c r="AAF76" s="22"/>
      <c r="AAG76" s="22"/>
      <c r="AAH76" s="22"/>
      <c r="AAI76" s="22"/>
      <c r="AAJ76" s="22"/>
      <c r="AAK76" s="22"/>
      <c r="AAL76" s="22"/>
      <c r="AAM76" s="22"/>
      <c r="AAN76" s="22"/>
      <c r="AAO76" s="22"/>
      <c r="AAP76" s="22"/>
      <c r="AAQ76" s="22"/>
      <c r="AAR76" s="22"/>
      <c r="AAS76" s="22"/>
      <c r="AAT76" s="22"/>
      <c r="AAU76" s="22"/>
      <c r="AAV76" s="22"/>
      <c r="AAW76" s="22"/>
      <c r="AAX76" s="22"/>
      <c r="AAY76" s="22"/>
      <c r="AAZ76" s="22"/>
      <c r="ABA76" s="22"/>
      <c r="ABB76" s="22"/>
      <c r="ABC76" s="22"/>
    </row>
    <row r="77" spans="1:731" ht="15" customHeight="1" thickBot="1" x14ac:dyDescent="0.35">
      <c r="A77" s="405"/>
      <c r="B77" s="68"/>
      <c r="C77" s="78"/>
      <c r="D77" s="243" t="s">
        <v>155</v>
      </c>
      <c r="E77" s="394" t="s">
        <v>154</v>
      </c>
      <c r="F77" s="105">
        <f t="shared" si="75"/>
        <v>0</v>
      </c>
      <c r="G77" s="58">
        <f t="shared" si="76"/>
        <v>0</v>
      </c>
      <c r="H77" s="52">
        <f t="shared" si="78"/>
        <v>0</v>
      </c>
      <c r="I77" s="14" t="str">
        <f t="shared" si="1"/>
        <v/>
      </c>
      <c r="J77" s="57"/>
      <c r="K77" s="58"/>
      <c r="L77" s="52"/>
      <c r="M77" s="14"/>
      <c r="N77" s="57"/>
      <c r="O77" s="58"/>
      <c r="P77" s="52"/>
      <c r="Q77" s="14"/>
      <c r="R77" s="57"/>
      <c r="S77" s="58"/>
      <c r="T77" s="52"/>
      <c r="U77" s="14"/>
      <c r="V77" s="57"/>
      <c r="W77" s="58"/>
      <c r="X77" s="52"/>
      <c r="Y77" s="14"/>
      <c r="Z77" s="57"/>
      <c r="AA77" s="58"/>
      <c r="AB77" s="52"/>
      <c r="AC77" s="19"/>
      <c r="AD77" s="392"/>
      <c r="AE77" s="135"/>
      <c r="AF77" s="173"/>
      <c r="AG77" s="113"/>
      <c r="AH77" s="141"/>
      <c r="AI77" s="128"/>
      <c r="AJ77" s="173"/>
      <c r="AK77" s="19"/>
      <c r="AL77" s="144"/>
      <c r="AM77" s="134"/>
      <c r="AN77" s="52"/>
      <c r="AO77" s="19"/>
      <c r="AP77" s="393"/>
      <c r="AQ77" s="43"/>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c r="GJ77" s="22"/>
      <c r="GK77" s="22"/>
      <c r="GL77" s="22"/>
      <c r="GM77" s="22"/>
      <c r="GN77" s="22"/>
      <c r="GO77" s="22"/>
      <c r="GP77" s="22"/>
      <c r="GQ77" s="22"/>
      <c r="GR77" s="22"/>
      <c r="GS77" s="22"/>
      <c r="GT77" s="22"/>
      <c r="GU77" s="22"/>
      <c r="GV77" s="22"/>
      <c r="GW77" s="22"/>
      <c r="GX77" s="22"/>
      <c r="GY77" s="22"/>
      <c r="GZ77" s="22"/>
      <c r="HA77" s="22"/>
      <c r="HB77" s="22"/>
      <c r="HC77" s="22"/>
      <c r="HD77" s="22"/>
      <c r="HE77" s="22"/>
      <c r="HF77" s="22"/>
      <c r="HG77" s="22"/>
      <c r="HH77" s="22"/>
      <c r="HI77" s="22"/>
      <c r="HJ77" s="22"/>
      <c r="HK77" s="22"/>
      <c r="HL77" s="22"/>
      <c r="HM77" s="22"/>
      <c r="HN77" s="22"/>
      <c r="HO77" s="22"/>
      <c r="HP77" s="22"/>
      <c r="HQ77" s="22"/>
      <c r="HR77" s="22"/>
      <c r="HS77" s="22"/>
      <c r="HT77" s="22"/>
      <c r="HU77" s="22"/>
      <c r="HV77" s="22"/>
      <c r="HW77" s="22"/>
      <c r="HX77" s="22"/>
      <c r="HY77" s="22"/>
      <c r="HZ77" s="22"/>
      <c r="IA77" s="22"/>
      <c r="IB77" s="22"/>
      <c r="IC77" s="22"/>
      <c r="ID77" s="22"/>
      <c r="IE77" s="22"/>
      <c r="IF77" s="22"/>
      <c r="IG77" s="22"/>
      <c r="IH77" s="22"/>
      <c r="II77" s="22"/>
      <c r="IJ77" s="22"/>
      <c r="IK77" s="22"/>
      <c r="IL77" s="22"/>
      <c r="IM77" s="22"/>
      <c r="IN77" s="22"/>
      <c r="IO77" s="22"/>
      <c r="IP77" s="22"/>
      <c r="IQ77" s="22"/>
      <c r="IR77" s="22"/>
      <c r="IS77" s="22"/>
      <c r="IT77" s="22"/>
      <c r="IU77" s="22"/>
      <c r="IV77" s="22"/>
      <c r="IW77" s="22"/>
      <c r="IX77" s="22"/>
      <c r="IY77" s="22"/>
      <c r="IZ77" s="22"/>
      <c r="JA77" s="22"/>
      <c r="JB77" s="22"/>
      <c r="JC77" s="22"/>
      <c r="JD77" s="22"/>
      <c r="JE77" s="22"/>
      <c r="JJ77" s="22"/>
      <c r="JK77" s="22"/>
      <c r="JL77" s="22"/>
      <c r="JM77" s="22"/>
      <c r="JN77" s="22"/>
      <c r="JO77" s="22"/>
      <c r="JP77" s="22"/>
      <c r="JQ77" s="22"/>
      <c r="JR77" s="22"/>
      <c r="JS77" s="22"/>
      <c r="JT77" s="22"/>
      <c r="JU77" s="22"/>
      <c r="JV77" s="22"/>
      <c r="JW77" s="22"/>
      <c r="JX77" s="22"/>
      <c r="JY77" s="22"/>
      <c r="JZ77" s="22"/>
      <c r="KA77" s="22"/>
      <c r="KB77" s="22"/>
      <c r="KC77" s="22"/>
      <c r="KD77" s="22"/>
      <c r="KE77" s="22"/>
      <c r="KF77" s="22"/>
      <c r="KG77" s="22"/>
      <c r="KH77" s="22"/>
      <c r="KI77" s="22"/>
      <c r="KJ77" s="22"/>
      <c r="KK77" s="22"/>
      <c r="KL77" s="22"/>
      <c r="KM77" s="22"/>
      <c r="KN77" s="22"/>
      <c r="KO77" s="22"/>
      <c r="KP77" s="22"/>
      <c r="KQ77" s="22"/>
      <c r="KR77" s="22"/>
      <c r="KS77" s="22"/>
      <c r="KT77" s="22"/>
      <c r="KU77" s="22"/>
      <c r="KV77" s="22"/>
      <c r="KW77" s="22"/>
      <c r="KX77" s="22"/>
      <c r="KY77" s="22"/>
      <c r="KZ77" s="22"/>
      <c r="LA77" s="22"/>
      <c r="LB77" s="22"/>
      <c r="LC77" s="22"/>
      <c r="LD77" s="22"/>
      <c r="LE77" s="22"/>
      <c r="LF77" s="22"/>
      <c r="LG77" s="22"/>
      <c r="LH77" s="22"/>
      <c r="LI77" s="22"/>
      <c r="LJ77" s="22"/>
      <c r="LK77" s="22"/>
      <c r="LL77" s="22"/>
      <c r="LM77" s="22"/>
      <c r="LN77" s="22"/>
      <c r="LO77" s="22"/>
      <c r="LP77" s="22"/>
      <c r="LQ77" s="22"/>
      <c r="LR77" s="22"/>
      <c r="LS77" s="22"/>
      <c r="LT77" s="22"/>
      <c r="LU77" s="22"/>
      <c r="LV77" s="22"/>
      <c r="LW77" s="22"/>
      <c r="LX77" s="22"/>
      <c r="LY77" s="22"/>
      <c r="LZ77" s="22"/>
      <c r="MA77" s="22"/>
      <c r="MB77" s="22"/>
      <c r="MC77" s="22"/>
      <c r="MD77" s="22"/>
      <c r="ME77" s="22"/>
      <c r="MF77" s="22"/>
      <c r="MG77" s="22"/>
      <c r="MH77" s="22"/>
      <c r="MI77" s="22"/>
      <c r="MJ77" s="22"/>
      <c r="MK77" s="22"/>
      <c r="ML77" s="22"/>
      <c r="MM77" s="22"/>
      <c r="MN77" s="22"/>
      <c r="MO77" s="22"/>
      <c r="MP77" s="22"/>
      <c r="MQ77" s="22"/>
      <c r="MR77" s="22"/>
      <c r="MS77" s="22"/>
      <c r="MT77" s="22"/>
      <c r="MU77" s="22"/>
      <c r="MV77" s="22"/>
      <c r="MW77" s="22"/>
      <c r="MX77" s="22"/>
      <c r="MY77" s="22"/>
      <c r="MZ77" s="22"/>
      <c r="NA77" s="22"/>
      <c r="NB77" s="22"/>
      <c r="NC77" s="22"/>
      <c r="ND77" s="22"/>
      <c r="NE77" s="22"/>
      <c r="NF77" s="22"/>
      <c r="NG77" s="22"/>
      <c r="NH77" s="22"/>
      <c r="NI77" s="22"/>
      <c r="NJ77" s="22"/>
      <c r="NK77" s="22"/>
      <c r="NL77" s="22"/>
      <c r="NM77" s="22"/>
      <c r="NN77" s="22"/>
      <c r="NO77" s="22"/>
      <c r="NP77" s="22"/>
      <c r="NQ77" s="22"/>
      <c r="NR77" s="22"/>
      <c r="NS77" s="22"/>
      <c r="NT77" s="22"/>
      <c r="NU77" s="22"/>
      <c r="NV77" s="22"/>
      <c r="NW77" s="22"/>
      <c r="NX77" s="22"/>
      <c r="NY77" s="22"/>
      <c r="NZ77" s="22"/>
      <c r="OA77" s="22"/>
      <c r="OB77" s="22"/>
      <c r="OC77" s="22"/>
      <c r="OD77" s="22"/>
      <c r="OE77" s="22"/>
      <c r="OF77" s="22"/>
      <c r="OG77" s="22"/>
      <c r="OH77" s="22"/>
      <c r="OI77" s="22"/>
      <c r="OJ77" s="22"/>
      <c r="OK77" s="22"/>
      <c r="OL77" s="22"/>
      <c r="OM77" s="22"/>
      <c r="ON77" s="22"/>
      <c r="OO77" s="22"/>
      <c r="OP77" s="22"/>
      <c r="OQ77" s="22"/>
      <c r="OR77" s="22"/>
      <c r="OS77" s="22"/>
      <c r="OT77" s="22"/>
      <c r="OU77" s="22"/>
      <c r="OV77" s="22"/>
      <c r="OW77" s="22"/>
      <c r="OX77" s="22"/>
      <c r="OY77" s="22"/>
      <c r="OZ77" s="22"/>
      <c r="PA77" s="22"/>
      <c r="PB77" s="22"/>
      <c r="PC77" s="22"/>
      <c r="PD77" s="22"/>
      <c r="PE77" s="22"/>
      <c r="PF77" s="22"/>
      <c r="PG77" s="22"/>
      <c r="PH77" s="22"/>
      <c r="PI77" s="22"/>
      <c r="PJ77" s="22"/>
      <c r="PK77" s="22"/>
      <c r="PL77" s="22"/>
      <c r="PM77" s="22"/>
      <c r="PN77" s="22"/>
      <c r="PO77" s="22"/>
      <c r="PP77" s="22"/>
      <c r="PQ77" s="22"/>
      <c r="PR77" s="22"/>
      <c r="PS77" s="22"/>
      <c r="PT77" s="22"/>
      <c r="PU77" s="22"/>
      <c r="PV77" s="22"/>
      <c r="PW77" s="22"/>
      <c r="PX77" s="22"/>
      <c r="PY77" s="22"/>
      <c r="PZ77" s="22"/>
      <c r="QA77" s="22"/>
      <c r="QB77" s="22"/>
      <c r="QC77" s="22"/>
      <c r="QD77" s="22"/>
      <c r="QE77" s="22"/>
      <c r="QF77" s="22"/>
      <c r="QG77" s="22"/>
      <c r="QH77" s="22"/>
      <c r="QI77" s="22"/>
      <c r="QJ77" s="22"/>
      <c r="QK77" s="22"/>
      <c r="QL77" s="22"/>
      <c r="QM77" s="22"/>
      <c r="QN77" s="22"/>
      <c r="QO77" s="22"/>
      <c r="QP77" s="22"/>
      <c r="QQ77" s="22"/>
      <c r="QR77" s="22"/>
      <c r="QS77" s="22"/>
      <c r="QT77" s="22"/>
      <c r="QU77" s="22"/>
      <c r="QV77" s="22"/>
      <c r="QW77" s="22"/>
      <c r="QX77" s="22"/>
      <c r="QY77" s="22"/>
      <c r="QZ77" s="22"/>
      <c r="RA77" s="22"/>
      <c r="RB77" s="22"/>
      <c r="RC77" s="22"/>
      <c r="RD77" s="22"/>
      <c r="RE77" s="22"/>
      <c r="RF77" s="22"/>
      <c r="RG77" s="22"/>
      <c r="RH77" s="22"/>
      <c r="RI77" s="22"/>
      <c r="RJ77" s="22"/>
      <c r="RK77" s="22"/>
      <c r="RL77" s="22"/>
      <c r="RM77" s="22"/>
      <c r="RN77" s="22"/>
      <c r="RO77" s="22"/>
      <c r="RP77" s="22"/>
      <c r="RQ77" s="22"/>
      <c r="RR77" s="22"/>
      <c r="RS77" s="22"/>
      <c r="RT77" s="22"/>
      <c r="RU77" s="22"/>
      <c r="RV77" s="22"/>
      <c r="RW77" s="22"/>
      <c r="RX77" s="22"/>
      <c r="RY77" s="22"/>
      <c r="RZ77" s="22"/>
      <c r="SA77" s="22"/>
      <c r="SB77" s="22"/>
      <c r="SC77" s="22"/>
      <c r="SD77" s="22"/>
      <c r="SE77" s="22"/>
      <c r="SF77" s="22"/>
      <c r="SG77" s="22"/>
      <c r="SH77" s="22"/>
      <c r="SI77" s="22"/>
      <c r="SJ77" s="22"/>
      <c r="SK77" s="22"/>
      <c r="SL77" s="22"/>
      <c r="SM77" s="22"/>
      <c r="SN77" s="22"/>
      <c r="SO77" s="22"/>
      <c r="SP77" s="22"/>
      <c r="SQ77" s="22"/>
      <c r="SR77" s="22"/>
      <c r="SS77" s="22"/>
      <c r="ST77" s="22"/>
      <c r="SU77" s="22"/>
      <c r="SV77" s="22"/>
      <c r="SW77" s="22"/>
      <c r="SX77" s="22"/>
      <c r="SY77" s="22"/>
      <c r="SZ77" s="22"/>
      <c r="TA77" s="22"/>
      <c r="TB77" s="22"/>
      <c r="TC77" s="22"/>
      <c r="TD77" s="22"/>
      <c r="TE77" s="22"/>
      <c r="TF77" s="22"/>
      <c r="TG77" s="22"/>
      <c r="TH77" s="22"/>
      <c r="TI77" s="22"/>
      <c r="TJ77" s="22"/>
      <c r="TK77" s="22"/>
      <c r="TL77" s="22"/>
      <c r="TM77" s="22"/>
      <c r="TN77" s="22"/>
      <c r="TO77" s="22"/>
      <c r="TP77" s="22"/>
      <c r="TQ77" s="22"/>
      <c r="TR77" s="22"/>
      <c r="TS77" s="22"/>
      <c r="TT77" s="22"/>
      <c r="TU77" s="22"/>
      <c r="TV77" s="22"/>
      <c r="TW77" s="22"/>
      <c r="TX77" s="22"/>
      <c r="TY77" s="22"/>
      <c r="TZ77" s="22"/>
      <c r="UA77" s="22"/>
      <c r="UB77" s="22"/>
      <c r="UC77" s="22"/>
      <c r="UD77" s="22"/>
      <c r="UE77" s="22"/>
      <c r="UF77" s="22"/>
      <c r="UG77" s="22"/>
      <c r="UH77" s="22"/>
      <c r="UI77" s="22"/>
      <c r="UJ77" s="22"/>
      <c r="UK77" s="22"/>
      <c r="UL77" s="22"/>
      <c r="UM77" s="22"/>
      <c r="UN77" s="22"/>
      <c r="UO77" s="22"/>
      <c r="UP77" s="22"/>
      <c r="UQ77" s="22"/>
      <c r="UR77" s="22"/>
      <c r="US77" s="22"/>
      <c r="UT77" s="22"/>
      <c r="UU77" s="22"/>
      <c r="UV77" s="22"/>
      <c r="UW77" s="22"/>
      <c r="UX77" s="22"/>
      <c r="UY77" s="22"/>
      <c r="UZ77" s="22"/>
      <c r="VA77" s="22"/>
      <c r="VB77" s="22"/>
      <c r="VC77" s="22"/>
      <c r="VD77" s="22"/>
      <c r="VE77" s="22"/>
      <c r="VF77" s="22"/>
      <c r="VG77" s="22"/>
      <c r="VH77" s="22"/>
      <c r="VI77" s="22"/>
      <c r="VJ77" s="22"/>
      <c r="VK77" s="22"/>
      <c r="VL77" s="22"/>
      <c r="VM77" s="22"/>
      <c r="VN77" s="22"/>
      <c r="VO77" s="22"/>
      <c r="VP77" s="22"/>
      <c r="VQ77" s="22"/>
      <c r="VR77" s="22"/>
      <c r="VS77" s="22"/>
      <c r="VT77" s="22"/>
      <c r="VU77" s="22"/>
      <c r="VV77" s="22"/>
      <c r="VW77" s="22"/>
      <c r="VX77" s="22"/>
      <c r="VY77" s="22"/>
      <c r="VZ77" s="22"/>
      <c r="WA77" s="22"/>
      <c r="WB77" s="22"/>
      <c r="WC77" s="22"/>
      <c r="WD77" s="22"/>
      <c r="WE77" s="22"/>
      <c r="WF77" s="22"/>
      <c r="WG77" s="22"/>
      <c r="WH77" s="22"/>
      <c r="WI77" s="22"/>
      <c r="WJ77" s="22"/>
      <c r="WK77" s="22"/>
      <c r="WL77" s="22"/>
      <c r="WM77" s="22"/>
      <c r="WN77" s="22"/>
      <c r="WO77" s="22"/>
      <c r="WP77" s="22"/>
      <c r="WQ77" s="22"/>
      <c r="WR77" s="22"/>
      <c r="WS77" s="22"/>
      <c r="WT77" s="22"/>
      <c r="WU77" s="22"/>
      <c r="WV77" s="22"/>
      <c r="WW77" s="22"/>
      <c r="WX77" s="22"/>
      <c r="WY77" s="22"/>
      <c r="WZ77" s="22"/>
      <c r="XA77" s="22"/>
      <c r="XB77" s="22"/>
      <c r="XC77" s="22"/>
      <c r="XD77" s="22"/>
      <c r="XE77" s="22"/>
      <c r="XF77" s="22"/>
      <c r="XG77" s="22"/>
      <c r="XH77" s="22"/>
      <c r="XI77" s="22"/>
      <c r="XJ77" s="22"/>
      <c r="XK77" s="22"/>
      <c r="XL77" s="22"/>
      <c r="XM77" s="22"/>
      <c r="XN77" s="22"/>
      <c r="XO77" s="22"/>
      <c r="XP77" s="22"/>
      <c r="XQ77" s="22"/>
      <c r="XR77" s="22"/>
      <c r="XS77" s="22"/>
      <c r="XT77" s="22"/>
      <c r="XU77" s="22"/>
      <c r="XV77" s="22"/>
      <c r="XW77" s="22"/>
      <c r="XX77" s="22"/>
      <c r="XY77" s="22"/>
      <c r="XZ77" s="22"/>
      <c r="YA77" s="22"/>
      <c r="YB77" s="22"/>
      <c r="YC77" s="22"/>
      <c r="YD77" s="22"/>
      <c r="YE77" s="22"/>
      <c r="YF77" s="22"/>
      <c r="YG77" s="22"/>
      <c r="YH77" s="22"/>
      <c r="YI77" s="22"/>
      <c r="YJ77" s="22"/>
      <c r="YK77" s="22"/>
      <c r="YL77" s="22"/>
      <c r="YM77" s="22"/>
      <c r="YN77" s="22"/>
      <c r="YO77" s="22"/>
      <c r="YP77" s="22"/>
      <c r="YQ77" s="22"/>
      <c r="YR77" s="22"/>
      <c r="YS77" s="22"/>
      <c r="YT77" s="22"/>
      <c r="YU77" s="22"/>
      <c r="YV77" s="22"/>
      <c r="YW77" s="22"/>
      <c r="YX77" s="22"/>
      <c r="YY77" s="22"/>
      <c r="YZ77" s="22"/>
      <c r="ZA77" s="22"/>
      <c r="ZB77" s="22"/>
      <c r="ZC77" s="22"/>
      <c r="ZD77" s="22"/>
      <c r="ZE77" s="22"/>
      <c r="ZF77" s="22"/>
      <c r="ZG77" s="22"/>
      <c r="ZH77" s="22"/>
      <c r="ZI77" s="22"/>
      <c r="ZJ77" s="22"/>
      <c r="ZK77" s="22"/>
      <c r="ZL77" s="22"/>
      <c r="ZM77" s="22"/>
      <c r="ZN77" s="22"/>
      <c r="ZO77" s="22"/>
      <c r="ZP77" s="22"/>
      <c r="ZQ77" s="22"/>
      <c r="ZR77" s="22"/>
      <c r="ZS77" s="22"/>
      <c r="ZT77" s="22"/>
      <c r="ZU77" s="22"/>
      <c r="ZV77" s="22"/>
      <c r="ZW77" s="22"/>
      <c r="ZX77" s="22"/>
      <c r="ZY77" s="22"/>
      <c r="ZZ77" s="22"/>
      <c r="AAA77" s="22"/>
      <c r="AAB77" s="22"/>
      <c r="AAC77" s="22"/>
      <c r="AAD77" s="22"/>
      <c r="AAE77" s="22"/>
      <c r="AAF77" s="22"/>
      <c r="AAG77" s="22"/>
      <c r="AAH77" s="22"/>
      <c r="AAI77" s="22"/>
      <c r="AAJ77" s="22"/>
      <c r="AAK77" s="22"/>
      <c r="AAL77" s="22"/>
      <c r="AAM77" s="22"/>
      <c r="AAN77" s="22"/>
      <c r="AAO77" s="22"/>
      <c r="AAP77" s="22"/>
      <c r="AAQ77" s="22"/>
      <c r="AAR77" s="22"/>
      <c r="AAS77" s="22"/>
      <c r="AAT77" s="22"/>
      <c r="AAU77" s="22"/>
      <c r="AAV77" s="22"/>
      <c r="AAW77" s="22"/>
      <c r="AAX77" s="22"/>
      <c r="AAY77" s="22"/>
      <c r="AAZ77" s="22"/>
      <c r="ABA77" s="22"/>
      <c r="ABB77" s="22"/>
      <c r="ABC77" s="22"/>
    </row>
    <row r="78" spans="1:731" s="44" customFormat="1" ht="15" customHeight="1" thickBot="1" x14ac:dyDescent="0.35">
      <c r="A78" s="405"/>
      <c r="B78" s="72"/>
      <c r="C78" s="90"/>
      <c r="D78" s="245" t="s">
        <v>11</v>
      </c>
      <c r="E78" s="379" t="s">
        <v>84</v>
      </c>
      <c r="F78" s="269">
        <f t="shared" si="75"/>
        <v>0</v>
      </c>
      <c r="G78" s="91">
        <f t="shared" si="76"/>
        <v>0</v>
      </c>
      <c r="H78" s="253">
        <f t="shared" si="78"/>
        <v>0</v>
      </c>
      <c r="I78" s="381" t="str">
        <f>IFERROR(IF(G78&lt;0,-(F78-G78)/G78,(F78-G78)/G78),"")</f>
        <v/>
      </c>
      <c r="J78" s="92">
        <v>0</v>
      </c>
      <c r="K78" s="91">
        <v>0</v>
      </c>
      <c r="L78" s="253">
        <f t="shared" si="77"/>
        <v>0</v>
      </c>
      <c r="M78" s="381">
        <v>0</v>
      </c>
      <c r="N78" s="92">
        <v>0</v>
      </c>
      <c r="O78" s="91">
        <v>0</v>
      </c>
      <c r="P78" s="253">
        <f t="shared" si="66"/>
        <v>0</v>
      </c>
      <c r="Q78" s="381">
        <v>0</v>
      </c>
      <c r="R78" s="92">
        <v>194.86947000000001</v>
      </c>
      <c r="S78" s="91">
        <v>194.86947000000001</v>
      </c>
      <c r="T78" s="253">
        <f t="shared" si="79"/>
        <v>0</v>
      </c>
      <c r="U78" s="381">
        <f t="shared" si="80"/>
        <v>0</v>
      </c>
      <c r="V78" s="92">
        <v>32.299999999999997</v>
      </c>
      <c r="W78" s="91">
        <v>32.299999999999997</v>
      </c>
      <c r="X78" s="253">
        <f t="shared" si="81"/>
        <v>0</v>
      </c>
      <c r="Y78" s="381">
        <f>IFERROR(IF(W78&lt;0,-(V78-W78)/W78,(V78-W78)/W78),"")</f>
        <v>0</v>
      </c>
      <c r="Z78" s="92">
        <v>162.56947</v>
      </c>
      <c r="AA78" s="91">
        <v>162.56947</v>
      </c>
      <c r="AB78" s="253">
        <f t="shared" si="82"/>
        <v>0</v>
      </c>
      <c r="AC78" s="382">
        <f>IFERROR(IF(AA78&lt;0,-(Z78-AA78)/AA78,(Z78-AA78)/AA78),"")</f>
        <v>0</v>
      </c>
      <c r="AD78" s="383">
        <v>0</v>
      </c>
      <c r="AE78" s="384">
        <v>0</v>
      </c>
      <c r="AF78" s="250">
        <f t="shared" si="6"/>
        <v>0</v>
      </c>
      <c r="AG78" s="385">
        <v>0</v>
      </c>
      <c r="AH78" s="386">
        <v>0</v>
      </c>
      <c r="AI78" s="387">
        <v>0</v>
      </c>
      <c r="AJ78" s="250">
        <f t="shared" si="8"/>
        <v>0</v>
      </c>
      <c r="AK78" s="382">
        <v>0</v>
      </c>
      <c r="AL78" s="388">
        <v>162.56947</v>
      </c>
      <c r="AM78" s="389">
        <v>162.56947</v>
      </c>
      <c r="AN78" s="253">
        <f t="shared" si="9"/>
        <v>0</v>
      </c>
      <c r="AO78" s="390">
        <f t="shared" si="10"/>
        <v>0</v>
      </c>
      <c r="AP78" s="391"/>
      <c r="AQ78" s="43"/>
      <c r="AR78" s="1">
        <f t="shared" si="11"/>
        <v>0</v>
      </c>
      <c r="AS78" s="1">
        <f t="shared" si="12"/>
        <v>0</v>
      </c>
      <c r="AT78" s="1">
        <f t="shared" si="13"/>
        <v>0</v>
      </c>
      <c r="AU78" s="1">
        <f t="shared" si="14"/>
        <v>0</v>
      </c>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22"/>
      <c r="GQ78" s="22"/>
      <c r="GR78" s="22"/>
      <c r="GS78" s="22"/>
      <c r="GT78" s="22"/>
      <c r="GU78" s="22"/>
      <c r="GV78" s="22"/>
      <c r="GW78" s="22"/>
      <c r="GX78" s="22"/>
      <c r="GY78" s="22"/>
      <c r="GZ78" s="22"/>
      <c r="HA78" s="22"/>
      <c r="HB78" s="22"/>
      <c r="HC78" s="22"/>
      <c r="HD78" s="22"/>
      <c r="HE78" s="22"/>
      <c r="HF78" s="22"/>
      <c r="HG78" s="22"/>
      <c r="HH78" s="22"/>
      <c r="HI78" s="22"/>
      <c r="HJ78" s="22"/>
      <c r="HK78" s="22"/>
      <c r="HL78" s="22"/>
      <c r="HM78" s="22"/>
      <c r="HN78" s="22"/>
      <c r="HO78" s="22"/>
      <c r="HP78" s="22"/>
      <c r="HQ78" s="22"/>
      <c r="HR78" s="22"/>
      <c r="HS78" s="22"/>
      <c r="HT78" s="22"/>
      <c r="HU78" s="22"/>
      <c r="HV78" s="22"/>
      <c r="HW78" s="22"/>
      <c r="HX78" s="22"/>
      <c r="HY78" s="22"/>
      <c r="HZ78" s="22"/>
      <c r="IA78" s="22"/>
      <c r="IB78" s="22"/>
      <c r="IC78" s="22"/>
      <c r="ID78" s="22"/>
      <c r="IE78" s="22"/>
      <c r="IF78" s="22"/>
      <c r="IG78" s="22"/>
      <c r="IH78" s="22"/>
      <c r="II78" s="22"/>
      <c r="IJ78" s="22"/>
      <c r="IK78" s="22"/>
      <c r="IL78" s="22"/>
      <c r="IM78" s="22"/>
      <c r="IN78" s="22"/>
      <c r="IO78" s="22"/>
      <c r="IP78" s="22"/>
      <c r="IQ78" s="22"/>
      <c r="IR78" s="22"/>
      <c r="IS78" s="22"/>
      <c r="IT78" s="22"/>
      <c r="IU78" s="22"/>
      <c r="IV78" s="22"/>
      <c r="IW78" s="22"/>
      <c r="IX78" s="22"/>
      <c r="IY78" s="22"/>
      <c r="IZ78" s="22"/>
      <c r="JA78" s="22"/>
      <c r="JB78" s="22"/>
      <c r="JC78" s="22"/>
      <c r="JD78" s="22"/>
      <c r="JE78" s="22"/>
      <c r="JF78" s="69"/>
      <c r="JG78" s="69"/>
      <c r="JH78" s="69"/>
      <c r="JI78" s="69"/>
      <c r="JJ78" s="22"/>
      <c r="JK78" s="22"/>
      <c r="JL78" s="22"/>
      <c r="JM78" s="22"/>
      <c r="JN78" s="22"/>
      <c r="JO78" s="22"/>
      <c r="JP78" s="22"/>
      <c r="JQ78" s="22"/>
      <c r="JR78" s="22"/>
      <c r="JS78" s="22"/>
      <c r="JT78" s="22"/>
      <c r="JU78" s="22"/>
      <c r="JV78" s="22"/>
      <c r="JW78" s="22"/>
      <c r="JX78" s="22"/>
      <c r="JY78" s="22"/>
      <c r="JZ78" s="22"/>
      <c r="KA78" s="22"/>
      <c r="KB78" s="22"/>
      <c r="KC78" s="22"/>
      <c r="KD78" s="22"/>
      <c r="KE78" s="22"/>
      <c r="KF78" s="22"/>
      <c r="KG78" s="22"/>
      <c r="KH78" s="22"/>
      <c r="KI78" s="22"/>
      <c r="KJ78" s="22"/>
      <c r="KK78" s="22"/>
      <c r="KL78" s="22"/>
      <c r="KM78" s="22"/>
      <c r="KN78" s="22"/>
      <c r="KO78" s="22"/>
      <c r="KP78" s="22"/>
      <c r="KQ78" s="22"/>
      <c r="KR78" s="22"/>
      <c r="KS78" s="22"/>
      <c r="KT78" s="22"/>
      <c r="KU78" s="22"/>
      <c r="KV78" s="22"/>
      <c r="KW78" s="22"/>
      <c r="KX78" s="22"/>
      <c r="KY78" s="22"/>
      <c r="KZ78" s="22"/>
      <c r="LA78" s="22"/>
      <c r="LB78" s="22"/>
      <c r="LC78" s="22"/>
      <c r="LD78" s="22"/>
      <c r="LE78" s="22"/>
      <c r="LF78" s="22"/>
      <c r="LG78" s="22"/>
      <c r="LH78" s="22"/>
      <c r="LI78" s="22"/>
      <c r="LJ78" s="22"/>
      <c r="LK78" s="22"/>
      <c r="LL78" s="22"/>
      <c r="LM78" s="22"/>
      <c r="LN78" s="22"/>
      <c r="LO78" s="22"/>
      <c r="LP78" s="22"/>
      <c r="LQ78" s="22"/>
      <c r="LR78" s="22"/>
      <c r="LS78" s="22"/>
      <c r="LT78" s="22"/>
      <c r="LU78" s="22"/>
      <c r="LV78" s="22"/>
      <c r="LW78" s="22"/>
      <c r="LX78" s="22"/>
      <c r="LY78" s="22"/>
      <c r="LZ78" s="22"/>
      <c r="MA78" s="22"/>
      <c r="MB78" s="22"/>
      <c r="MC78" s="22"/>
      <c r="MD78" s="22"/>
      <c r="ME78" s="22"/>
      <c r="MF78" s="22"/>
      <c r="MG78" s="22"/>
      <c r="MH78" s="22"/>
      <c r="MI78" s="22"/>
      <c r="MJ78" s="22"/>
      <c r="MK78" s="22"/>
      <c r="ML78" s="22"/>
      <c r="MM78" s="22"/>
      <c r="MN78" s="22"/>
      <c r="MO78" s="22"/>
      <c r="MP78" s="22"/>
      <c r="MQ78" s="22"/>
      <c r="MR78" s="22"/>
      <c r="MS78" s="22"/>
      <c r="MT78" s="22"/>
      <c r="MU78" s="22"/>
      <c r="MV78" s="22"/>
      <c r="MW78" s="22"/>
      <c r="MX78" s="22"/>
      <c r="MY78" s="22"/>
      <c r="MZ78" s="22"/>
      <c r="NA78" s="22"/>
      <c r="NB78" s="22"/>
      <c r="NC78" s="22"/>
      <c r="ND78" s="22"/>
      <c r="NE78" s="22"/>
      <c r="NF78" s="22"/>
      <c r="NG78" s="22"/>
      <c r="NH78" s="22"/>
      <c r="NI78" s="22"/>
      <c r="NJ78" s="22"/>
      <c r="NK78" s="22"/>
      <c r="NL78" s="22"/>
      <c r="NM78" s="22"/>
      <c r="NN78" s="22"/>
      <c r="NO78" s="22"/>
      <c r="NP78" s="22"/>
      <c r="NQ78" s="22"/>
      <c r="NR78" s="22"/>
      <c r="NS78" s="22"/>
      <c r="NT78" s="22"/>
      <c r="NU78" s="22"/>
      <c r="NV78" s="22"/>
      <c r="NW78" s="22"/>
      <c r="NX78" s="22"/>
      <c r="NY78" s="22"/>
      <c r="NZ78" s="22"/>
      <c r="OA78" s="22"/>
      <c r="OB78" s="22"/>
      <c r="OC78" s="22"/>
      <c r="OD78" s="22"/>
      <c r="OE78" s="22"/>
      <c r="OF78" s="22"/>
      <c r="OG78" s="22"/>
      <c r="OH78" s="22"/>
      <c r="OI78" s="22"/>
      <c r="OJ78" s="22"/>
      <c r="OK78" s="22"/>
      <c r="OL78" s="22"/>
      <c r="OM78" s="22"/>
      <c r="ON78" s="22"/>
      <c r="OO78" s="22"/>
      <c r="OP78" s="22"/>
      <c r="OQ78" s="22"/>
      <c r="OR78" s="22"/>
      <c r="OS78" s="22"/>
      <c r="OT78" s="22"/>
      <c r="OU78" s="22"/>
      <c r="OV78" s="22"/>
      <c r="OW78" s="22"/>
      <c r="OX78" s="22"/>
      <c r="OY78" s="22"/>
      <c r="OZ78" s="22"/>
      <c r="PA78" s="22"/>
      <c r="PB78" s="22"/>
      <c r="PC78" s="22"/>
      <c r="PD78" s="22"/>
      <c r="PE78" s="22"/>
      <c r="PF78" s="22"/>
      <c r="PG78" s="22"/>
      <c r="PH78" s="22"/>
      <c r="PI78" s="22"/>
      <c r="PJ78" s="22"/>
      <c r="PK78" s="22"/>
      <c r="PL78" s="22"/>
      <c r="PM78" s="22"/>
      <c r="PN78" s="22"/>
      <c r="PO78" s="22"/>
      <c r="PP78" s="22"/>
      <c r="PQ78" s="22"/>
      <c r="PR78" s="22"/>
      <c r="PS78" s="22"/>
      <c r="PT78" s="22"/>
      <c r="PU78" s="22"/>
      <c r="PV78" s="22"/>
      <c r="PW78" s="22"/>
      <c r="PX78" s="22"/>
      <c r="PY78" s="22"/>
      <c r="PZ78" s="22"/>
      <c r="QA78" s="22"/>
      <c r="QB78" s="22"/>
      <c r="QC78" s="22"/>
      <c r="QD78" s="22"/>
      <c r="QE78" s="22"/>
      <c r="QF78" s="22"/>
      <c r="QG78" s="22"/>
      <c r="QH78" s="22"/>
      <c r="QI78" s="22"/>
      <c r="QJ78" s="22"/>
      <c r="QK78" s="22"/>
      <c r="QL78" s="22"/>
      <c r="QM78" s="22"/>
      <c r="QN78" s="22"/>
      <c r="QO78" s="22"/>
      <c r="QP78" s="22"/>
      <c r="QQ78" s="22"/>
      <c r="QR78" s="22"/>
      <c r="QS78" s="22"/>
      <c r="QT78" s="22"/>
      <c r="QU78" s="22"/>
      <c r="QV78" s="22"/>
      <c r="QW78" s="22"/>
      <c r="QX78" s="22"/>
      <c r="QY78" s="22"/>
      <c r="QZ78" s="22"/>
      <c r="RA78" s="22"/>
      <c r="RB78" s="22"/>
      <c r="RC78" s="22"/>
      <c r="RD78" s="22"/>
      <c r="RE78" s="22"/>
      <c r="RF78" s="22"/>
      <c r="RG78" s="22"/>
      <c r="RH78" s="22"/>
      <c r="RI78" s="22"/>
      <c r="RJ78" s="22"/>
      <c r="RK78" s="22"/>
      <c r="RL78" s="22"/>
      <c r="RM78" s="22"/>
      <c r="RN78" s="22"/>
      <c r="RO78" s="22"/>
      <c r="RP78" s="22"/>
      <c r="RQ78" s="22"/>
      <c r="RR78" s="22"/>
      <c r="RS78" s="22"/>
      <c r="RT78" s="22"/>
      <c r="RU78" s="22"/>
      <c r="RV78" s="22"/>
      <c r="RW78" s="22"/>
      <c r="RX78" s="22"/>
      <c r="RY78" s="22"/>
      <c r="RZ78" s="22"/>
      <c r="SA78" s="22"/>
      <c r="SB78" s="22"/>
      <c r="SC78" s="22"/>
      <c r="SD78" s="22"/>
      <c r="SE78" s="22"/>
      <c r="SF78" s="22"/>
      <c r="SG78" s="22"/>
      <c r="SH78" s="22"/>
      <c r="SI78" s="22"/>
      <c r="SJ78" s="22"/>
      <c r="SK78" s="22"/>
      <c r="SL78" s="22"/>
      <c r="SM78" s="22"/>
      <c r="SN78" s="22"/>
      <c r="SO78" s="22"/>
      <c r="SP78" s="22"/>
      <c r="SQ78" s="22"/>
      <c r="SR78" s="22"/>
      <c r="SS78" s="22"/>
      <c r="ST78" s="22"/>
      <c r="SU78" s="22"/>
      <c r="SV78" s="22"/>
      <c r="SW78" s="22"/>
      <c r="SX78" s="22"/>
      <c r="SY78" s="22"/>
      <c r="SZ78" s="22"/>
      <c r="TA78" s="22"/>
      <c r="TB78" s="22"/>
      <c r="TC78" s="22"/>
      <c r="TD78" s="22"/>
      <c r="TE78" s="22"/>
      <c r="TF78" s="22"/>
      <c r="TG78" s="22"/>
      <c r="TH78" s="22"/>
      <c r="TI78" s="22"/>
      <c r="TJ78" s="22"/>
      <c r="TK78" s="22"/>
      <c r="TL78" s="22"/>
      <c r="TM78" s="22"/>
      <c r="TN78" s="22"/>
      <c r="TO78" s="22"/>
      <c r="TP78" s="22"/>
      <c r="TQ78" s="22"/>
      <c r="TR78" s="22"/>
      <c r="TS78" s="22"/>
      <c r="TT78" s="22"/>
      <c r="TU78" s="22"/>
      <c r="TV78" s="22"/>
      <c r="TW78" s="22"/>
      <c r="TX78" s="22"/>
      <c r="TY78" s="22"/>
      <c r="TZ78" s="22"/>
      <c r="UA78" s="22"/>
      <c r="UB78" s="22"/>
      <c r="UC78" s="22"/>
      <c r="UD78" s="22"/>
      <c r="UE78" s="22"/>
      <c r="UF78" s="22"/>
      <c r="UG78" s="22"/>
      <c r="UH78" s="22"/>
      <c r="UI78" s="22"/>
      <c r="UJ78" s="22"/>
      <c r="UK78" s="22"/>
      <c r="UL78" s="22"/>
      <c r="UM78" s="22"/>
      <c r="UN78" s="22"/>
      <c r="UO78" s="22"/>
      <c r="UP78" s="22"/>
      <c r="UQ78" s="22"/>
      <c r="UR78" s="22"/>
      <c r="US78" s="22"/>
      <c r="UT78" s="22"/>
      <c r="UU78" s="22"/>
      <c r="UV78" s="22"/>
      <c r="UW78" s="22"/>
      <c r="UX78" s="22"/>
      <c r="UY78" s="22"/>
      <c r="UZ78" s="22"/>
      <c r="VA78" s="22"/>
      <c r="VB78" s="22"/>
      <c r="VC78" s="22"/>
      <c r="VD78" s="22"/>
      <c r="VE78" s="22"/>
      <c r="VF78" s="22"/>
      <c r="VG78" s="22"/>
      <c r="VH78" s="22"/>
      <c r="VI78" s="22"/>
      <c r="VJ78" s="22"/>
      <c r="VK78" s="22"/>
      <c r="VL78" s="22"/>
      <c r="VM78" s="22"/>
      <c r="VN78" s="22"/>
      <c r="VO78" s="22"/>
      <c r="VP78" s="22"/>
      <c r="VQ78" s="22"/>
      <c r="VR78" s="22"/>
      <c r="VS78" s="22"/>
      <c r="VT78" s="22"/>
      <c r="VU78" s="22"/>
      <c r="VV78" s="22"/>
      <c r="VW78" s="22"/>
      <c r="VX78" s="22"/>
      <c r="VY78" s="22"/>
      <c r="VZ78" s="22"/>
      <c r="WA78" s="22"/>
      <c r="WB78" s="22"/>
      <c r="WC78" s="22"/>
      <c r="WD78" s="22"/>
      <c r="WE78" s="22"/>
      <c r="WF78" s="22"/>
      <c r="WG78" s="22"/>
      <c r="WH78" s="22"/>
      <c r="WI78" s="22"/>
      <c r="WJ78" s="22"/>
      <c r="WK78" s="22"/>
      <c r="WL78" s="22"/>
      <c r="WM78" s="22"/>
      <c r="WN78" s="22"/>
      <c r="WO78" s="22"/>
      <c r="WP78" s="22"/>
      <c r="WQ78" s="22"/>
      <c r="WR78" s="22"/>
      <c r="WS78" s="22"/>
      <c r="WT78" s="22"/>
      <c r="WU78" s="22"/>
      <c r="WV78" s="22"/>
      <c r="WW78" s="22"/>
      <c r="WX78" s="22"/>
      <c r="WY78" s="22"/>
      <c r="WZ78" s="22"/>
      <c r="XA78" s="22"/>
      <c r="XB78" s="22"/>
      <c r="XC78" s="22"/>
      <c r="XD78" s="22"/>
      <c r="XE78" s="22"/>
      <c r="XF78" s="22"/>
      <c r="XG78" s="22"/>
      <c r="XH78" s="22"/>
      <c r="XI78" s="22"/>
      <c r="XJ78" s="22"/>
      <c r="XK78" s="22"/>
      <c r="XL78" s="22"/>
      <c r="XM78" s="22"/>
      <c r="XN78" s="22"/>
      <c r="XO78" s="22"/>
      <c r="XP78" s="22"/>
      <c r="XQ78" s="22"/>
      <c r="XR78" s="22"/>
      <c r="XS78" s="22"/>
      <c r="XT78" s="22"/>
      <c r="XU78" s="22"/>
      <c r="XV78" s="22"/>
      <c r="XW78" s="22"/>
      <c r="XX78" s="22"/>
      <c r="XY78" s="22"/>
      <c r="XZ78" s="22"/>
      <c r="YA78" s="22"/>
      <c r="YB78" s="22"/>
      <c r="YC78" s="22"/>
      <c r="YD78" s="22"/>
      <c r="YE78" s="22"/>
      <c r="YF78" s="22"/>
      <c r="YG78" s="22"/>
      <c r="YH78" s="22"/>
      <c r="YI78" s="22"/>
      <c r="YJ78" s="22"/>
      <c r="YK78" s="22"/>
      <c r="YL78" s="22"/>
      <c r="YM78" s="22"/>
      <c r="YN78" s="22"/>
      <c r="YO78" s="22"/>
      <c r="YP78" s="22"/>
      <c r="YQ78" s="22"/>
      <c r="YR78" s="22"/>
      <c r="YS78" s="22"/>
      <c r="YT78" s="22"/>
      <c r="YU78" s="22"/>
      <c r="YV78" s="22"/>
      <c r="YW78" s="22"/>
      <c r="YX78" s="22"/>
      <c r="YY78" s="22"/>
      <c r="YZ78" s="22"/>
      <c r="ZA78" s="22"/>
      <c r="ZB78" s="22"/>
      <c r="ZC78" s="22"/>
      <c r="ZD78" s="22"/>
      <c r="ZE78" s="22"/>
      <c r="ZF78" s="22"/>
      <c r="ZG78" s="22"/>
      <c r="ZH78" s="22"/>
      <c r="ZI78" s="22"/>
      <c r="ZJ78" s="22"/>
      <c r="ZK78" s="22"/>
      <c r="ZL78" s="22"/>
      <c r="ZM78" s="22"/>
      <c r="ZN78" s="22"/>
      <c r="ZO78" s="22"/>
      <c r="ZP78" s="22"/>
      <c r="ZQ78" s="22"/>
      <c r="ZR78" s="22"/>
      <c r="ZS78" s="22"/>
      <c r="ZT78" s="22"/>
      <c r="ZU78" s="22"/>
      <c r="ZV78" s="22"/>
      <c r="ZW78" s="22"/>
      <c r="ZX78" s="22"/>
      <c r="ZY78" s="22"/>
      <c r="ZZ78" s="22"/>
      <c r="AAA78" s="22"/>
      <c r="AAB78" s="22"/>
      <c r="AAC78" s="22"/>
      <c r="AAD78" s="22"/>
      <c r="AAE78" s="22"/>
      <c r="AAF78" s="22"/>
      <c r="AAG78" s="22"/>
      <c r="AAH78" s="22"/>
      <c r="AAI78" s="22"/>
      <c r="AAJ78" s="22"/>
      <c r="AAK78" s="22"/>
      <c r="AAL78" s="22"/>
      <c r="AAM78" s="22"/>
      <c r="AAN78" s="22"/>
      <c r="AAO78" s="22"/>
      <c r="AAP78" s="22"/>
      <c r="AAQ78" s="22"/>
      <c r="AAR78" s="22"/>
      <c r="AAS78" s="22"/>
      <c r="AAT78" s="22"/>
      <c r="AAU78" s="22"/>
      <c r="AAV78" s="22"/>
      <c r="AAW78" s="22"/>
      <c r="AAX78" s="22"/>
      <c r="AAY78" s="22"/>
      <c r="AAZ78" s="22"/>
      <c r="ABA78" s="22"/>
      <c r="ABB78" s="22"/>
      <c r="ABC78" s="22"/>
    </row>
    <row r="79" spans="1:731" s="338" customFormat="1" ht="15" customHeight="1" thickBot="1" x14ac:dyDescent="0.35">
      <c r="A79" s="406"/>
      <c r="D79" s="399"/>
      <c r="E79" s="380" t="s">
        <v>112</v>
      </c>
      <c r="F79" s="93">
        <f>SUM(F72:F78)</f>
        <v>544.17211047350747</v>
      </c>
      <c r="G79" s="221">
        <f>SUM(G72:G78)</f>
        <v>672.50521117334529</v>
      </c>
      <c r="H79" s="115">
        <f>F79-G79</f>
        <v>-128.33310069983781</v>
      </c>
      <c r="I79" s="152">
        <f>IFERROR(IF(G79&lt;0,-(F79-G79)/G79,(F79-G79)/G79),"")</f>
        <v>-0.19082841079540513</v>
      </c>
      <c r="J79" s="221">
        <f>SUM(J72:J78)</f>
        <v>162452.35028212497</v>
      </c>
      <c r="K79" s="93">
        <f>SUM(K72:K78)</f>
        <v>200763.78415833099</v>
      </c>
      <c r="L79" s="115">
        <f>J79-K79</f>
        <v>-38311.433876206022</v>
      </c>
      <c r="M79" s="222">
        <f>IFERROR(IF(K79&lt;0,-(J79-K79)/K79,(J79-K79)/K79),"")</f>
        <v>-0.19082841079540505</v>
      </c>
      <c r="N79" s="93">
        <f>SUM(N72:N78)</f>
        <v>37757.575362124968</v>
      </c>
      <c r="O79" s="223">
        <f>SUM(O72:O78)</f>
        <v>52780.448620005081</v>
      </c>
      <c r="P79" s="117">
        <f>N79-O79</f>
        <v>-15022.873257880114</v>
      </c>
      <c r="Q79" s="222">
        <f>IFERROR(IF(O79&lt;0,-(N79-O79)/O79,(N79-O79)/O79),"")</f>
        <v>-0.28462951056058433</v>
      </c>
      <c r="R79" s="221">
        <f>SUM(R72:R78)</f>
        <v>476.98442999999997</v>
      </c>
      <c r="S79" s="93">
        <f>SUM(S72:S78)</f>
        <v>457.35519999999997</v>
      </c>
      <c r="T79" s="115">
        <f>R79-S79</f>
        <v>19.629230000000007</v>
      </c>
      <c r="U79" s="152">
        <f t="shared" si="80"/>
        <v>4.2919004747294896E-2</v>
      </c>
      <c r="V79" s="221">
        <f>SUM(V72:V78)</f>
        <v>49560.673580000002</v>
      </c>
      <c r="W79" s="93">
        <f>SUM(W72:W78)</f>
        <v>54408.466068101763</v>
      </c>
      <c r="X79" s="115">
        <f>V79-W79</f>
        <v>-4847.7924881017607</v>
      </c>
      <c r="Y79" s="222">
        <f>IFERROR(IF(W79&lt;0,-(V79-W79)/W79,(V79-W79)/W79),"")</f>
        <v>-8.9099966208087841E-2</v>
      </c>
      <c r="Z79" s="221">
        <f>SUM(Z72:Z78)</f>
        <v>-11873.971787875014</v>
      </c>
      <c r="AA79" s="93">
        <f>SUM(AA72:AA78)</f>
        <v>-1170.7622480966788</v>
      </c>
      <c r="AB79" s="117">
        <f>Z79-AA79</f>
        <v>-10703.209539778336</v>
      </c>
      <c r="AC79" s="152">
        <f>IFERROR(IF(AA79&lt;0,-(Z79-AA79)/AA79,(Z79-AA79)/AA79),"")</f>
        <v>-9.1420863263900607</v>
      </c>
      <c r="AD79" s="211">
        <f>SUM(AD72:AD78)</f>
        <v>0</v>
      </c>
      <c r="AE79" s="211">
        <f>SUM(AE72:AE78)</f>
        <v>0</v>
      </c>
      <c r="AF79" s="117">
        <f>AD79-AE79</f>
        <v>0</v>
      </c>
      <c r="AG79" s="339">
        <v>0</v>
      </c>
      <c r="AH79" s="224">
        <f>SUM(AH72:AH78)</f>
        <v>0</v>
      </c>
      <c r="AI79" s="224">
        <f>SUM(AI66:AI78)</f>
        <v>0</v>
      </c>
      <c r="AJ79" s="115">
        <f>AH79-AI79</f>
        <v>0</v>
      </c>
      <c r="AK79" s="153">
        <v>0</v>
      </c>
      <c r="AL79" s="93">
        <f>SUM(AL72:AL78)</f>
        <v>-11873.971787875014</v>
      </c>
      <c r="AM79" s="221">
        <f>SUM(AM72:AM78)</f>
        <v>-1170.7622480966788</v>
      </c>
      <c r="AN79" s="115">
        <f>AL79-AM79</f>
        <v>-10703.209539778336</v>
      </c>
      <c r="AO79" s="152">
        <f>IFERROR(IF(AM79&lt;0,-(AL79-AM79)/AM79,(AL79-AM79)/AM79),"")</f>
        <v>-9.1420863263900607</v>
      </c>
      <c r="AP79" s="317"/>
      <c r="AQ79" s="288"/>
      <c r="AR79" s="289">
        <f t="shared" ref="AR79:AS81" si="83">(N79+R79-V79)-Z79</f>
        <v>547.85799999997653</v>
      </c>
      <c r="AS79" s="289">
        <f t="shared" si="83"/>
        <v>9.9999999995361577E-2</v>
      </c>
      <c r="AT79" s="289">
        <f t="shared" ref="AT79:AU81" si="84">(Z79-AD79+AH79)-AL79</f>
        <v>0</v>
      </c>
      <c r="AU79" s="289">
        <f t="shared" si="84"/>
        <v>0</v>
      </c>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7"/>
      <c r="BS79" s="177"/>
      <c r="BT79" s="177"/>
      <c r="BU79" s="177"/>
      <c r="BV79" s="177"/>
      <c r="BW79" s="177"/>
      <c r="BX79" s="177"/>
      <c r="BY79" s="177"/>
      <c r="BZ79" s="177"/>
      <c r="CA79" s="177"/>
      <c r="CB79" s="177"/>
      <c r="CC79" s="177"/>
      <c r="CD79" s="177"/>
      <c r="CE79" s="177"/>
      <c r="CF79" s="177"/>
      <c r="CG79" s="177"/>
      <c r="CH79" s="177"/>
      <c r="CI79" s="177"/>
      <c r="CJ79" s="177"/>
      <c r="CK79" s="177"/>
      <c r="CL79" s="177"/>
      <c r="CM79" s="177"/>
      <c r="CN79" s="177"/>
      <c r="CO79" s="177"/>
      <c r="CP79" s="177"/>
      <c r="CQ79" s="177"/>
      <c r="CR79" s="177"/>
      <c r="CS79" s="177"/>
      <c r="CT79" s="177"/>
      <c r="CU79" s="177"/>
      <c r="CV79" s="177"/>
      <c r="CW79" s="177"/>
      <c r="CX79" s="177"/>
      <c r="CY79" s="177"/>
      <c r="CZ79" s="177"/>
      <c r="DA79" s="177"/>
      <c r="DB79" s="177"/>
      <c r="DC79" s="177"/>
      <c r="DD79" s="177"/>
      <c r="DE79" s="177"/>
      <c r="DF79" s="177"/>
      <c r="DG79" s="177"/>
      <c r="DH79" s="177"/>
      <c r="DI79" s="177"/>
      <c r="DJ79" s="177"/>
      <c r="DK79" s="177"/>
      <c r="DL79" s="177"/>
      <c r="DM79" s="177"/>
      <c r="DN79" s="177"/>
      <c r="DO79" s="177"/>
      <c r="DP79" s="177"/>
      <c r="DQ79" s="177"/>
      <c r="DR79" s="177"/>
      <c r="DS79" s="177"/>
      <c r="DT79" s="177"/>
      <c r="DU79" s="177"/>
      <c r="DV79" s="177"/>
      <c r="DW79" s="177"/>
      <c r="DX79" s="177"/>
      <c r="DY79" s="177"/>
      <c r="DZ79" s="177"/>
      <c r="EA79" s="177"/>
      <c r="EB79" s="177"/>
      <c r="EC79" s="177"/>
      <c r="ED79" s="177"/>
      <c r="EE79" s="177"/>
      <c r="EF79" s="177"/>
      <c r="EG79" s="177"/>
      <c r="EH79" s="177"/>
      <c r="EI79" s="177"/>
      <c r="EJ79" s="177"/>
      <c r="EK79" s="177"/>
      <c r="EL79" s="177"/>
      <c r="EM79" s="177"/>
      <c r="EN79" s="177"/>
      <c r="EO79" s="177"/>
      <c r="EP79" s="177"/>
      <c r="EQ79" s="177"/>
      <c r="ER79" s="177"/>
      <c r="ES79" s="177"/>
      <c r="ET79" s="177"/>
      <c r="EU79" s="177"/>
      <c r="EV79" s="177"/>
      <c r="EW79" s="177"/>
      <c r="EX79" s="177"/>
      <c r="EY79" s="177"/>
      <c r="EZ79" s="177"/>
      <c r="FA79" s="177"/>
      <c r="FB79" s="177"/>
      <c r="FC79" s="177"/>
      <c r="FD79" s="177"/>
      <c r="FE79" s="177"/>
      <c r="FF79" s="177"/>
      <c r="FG79" s="177"/>
      <c r="FH79" s="177"/>
      <c r="FI79" s="177"/>
      <c r="FJ79" s="177"/>
      <c r="FK79" s="177"/>
      <c r="FL79" s="177"/>
      <c r="FM79" s="177"/>
      <c r="FN79" s="177"/>
      <c r="FO79" s="177"/>
      <c r="FP79" s="177"/>
      <c r="FQ79" s="177"/>
      <c r="FR79" s="177"/>
      <c r="FS79" s="177"/>
      <c r="FT79" s="177"/>
      <c r="FU79" s="177"/>
      <c r="FV79" s="177"/>
      <c r="FW79" s="177"/>
      <c r="FX79" s="177"/>
      <c r="FY79" s="177"/>
      <c r="FZ79" s="177"/>
      <c r="GA79" s="177"/>
      <c r="GB79" s="177"/>
      <c r="GC79" s="177"/>
      <c r="GD79" s="177"/>
      <c r="GE79" s="177"/>
      <c r="GF79" s="177"/>
      <c r="GG79" s="177"/>
      <c r="GH79" s="177"/>
      <c r="GI79" s="177"/>
      <c r="GJ79" s="177"/>
      <c r="GK79" s="177"/>
      <c r="GL79" s="177"/>
      <c r="GM79" s="177"/>
      <c r="GN79" s="177"/>
      <c r="GO79" s="177"/>
      <c r="GP79" s="177"/>
      <c r="GQ79" s="177"/>
      <c r="GR79" s="177"/>
      <c r="GS79" s="177"/>
      <c r="GT79" s="177"/>
      <c r="GU79" s="177"/>
      <c r="GV79" s="177"/>
      <c r="GW79" s="177"/>
      <c r="GX79" s="177"/>
      <c r="GY79" s="177"/>
      <c r="GZ79" s="177"/>
      <c r="HA79" s="177"/>
      <c r="HB79" s="177"/>
      <c r="HC79" s="177"/>
      <c r="HD79" s="177"/>
      <c r="HE79" s="177"/>
      <c r="HF79" s="177"/>
      <c r="HG79" s="177"/>
      <c r="HH79" s="177"/>
      <c r="HI79" s="177"/>
      <c r="HJ79" s="177"/>
      <c r="HK79" s="177"/>
      <c r="HL79" s="177"/>
      <c r="HM79" s="177"/>
      <c r="HN79" s="177"/>
      <c r="HO79" s="177"/>
      <c r="HP79" s="177"/>
      <c r="HQ79" s="177"/>
      <c r="HR79" s="177"/>
      <c r="HS79" s="177"/>
      <c r="HT79" s="177"/>
      <c r="HU79" s="177"/>
      <c r="HV79" s="177"/>
      <c r="HW79" s="177"/>
      <c r="HX79" s="177"/>
      <c r="HY79" s="177"/>
      <c r="HZ79" s="177"/>
      <c r="IA79" s="177"/>
      <c r="IB79" s="177"/>
      <c r="IC79" s="177"/>
      <c r="ID79" s="177"/>
      <c r="IE79" s="177"/>
      <c r="IF79" s="177"/>
      <c r="IG79" s="177"/>
      <c r="IH79" s="177"/>
      <c r="II79" s="177"/>
      <c r="IJ79" s="177"/>
      <c r="IK79" s="177"/>
      <c r="IL79" s="177"/>
      <c r="IM79" s="177"/>
      <c r="IN79" s="177"/>
      <c r="IO79" s="177"/>
      <c r="IP79" s="177"/>
      <c r="IQ79" s="177"/>
      <c r="IR79" s="177"/>
      <c r="IS79" s="177"/>
      <c r="IT79" s="177"/>
      <c r="IU79" s="177"/>
      <c r="IV79" s="177"/>
      <c r="IW79" s="177"/>
      <c r="IX79" s="177"/>
      <c r="IY79" s="177"/>
      <c r="IZ79" s="177"/>
      <c r="JA79" s="177"/>
      <c r="JB79" s="177"/>
      <c r="JC79" s="177"/>
      <c r="JD79" s="177"/>
      <c r="JE79" s="177"/>
      <c r="JJ79" s="177"/>
      <c r="JK79" s="177"/>
      <c r="JL79" s="177"/>
      <c r="JM79" s="177"/>
      <c r="JN79" s="177"/>
      <c r="JO79" s="177"/>
      <c r="JP79" s="177"/>
      <c r="JQ79" s="177"/>
      <c r="JR79" s="177"/>
      <c r="JS79" s="177"/>
      <c r="JT79" s="177"/>
      <c r="JU79" s="177"/>
      <c r="JV79" s="177"/>
      <c r="JW79" s="177"/>
      <c r="JX79" s="177"/>
      <c r="JY79" s="177"/>
      <c r="JZ79" s="177"/>
      <c r="KA79" s="177"/>
      <c r="KB79" s="177"/>
      <c r="KC79" s="177"/>
      <c r="KD79" s="177"/>
      <c r="KE79" s="177"/>
      <c r="KF79" s="177"/>
      <c r="KG79" s="177"/>
      <c r="KH79" s="177"/>
      <c r="KI79" s="177"/>
      <c r="KJ79" s="177"/>
      <c r="KK79" s="177"/>
      <c r="KL79" s="177"/>
      <c r="KM79" s="177"/>
      <c r="KN79" s="177"/>
      <c r="KO79" s="177"/>
      <c r="KP79" s="177"/>
      <c r="KQ79" s="177"/>
      <c r="KR79" s="177"/>
      <c r="KS79" s="177"/>
      <c r="KT79" s="177"/>
      <c r="KU79" s="177"/>
      <c r="KV79" s="177"/>
      <c r="KW79" s="177"/>
      <c r="KX79" s="177"/>
      <c r="KY79" s="177"/>
      <c r="KZ79" s="177"/>
      <c r="LA79" s="177"/>
      <c r="LB79" s="177"/>
      <c r="LC79" s="177"/>
      <c r="LD79" s="177"/>
      <c r="LE79" s="177"/>
      <c r="LF79" s="177"/>
      <c r="LG79" s="177"/>
      <c r="LH79" s="177"/>
      <c r="LI79" s="177"/>
      <c r="LJ79" s="177"/>
      <c r="LK79" s="177"/>
      <c r="LL79" s="177"/>
      <c r="LM79" s="177"/>
      <c r="LN79" s="177"/>
      <c r="LO79" s="177"/>
      <c r="LP79" s="177"/>
      <c r="LQ79" s="177"/>
      <c r="LR79" s="177"/>
      <c r="LS79" s="177"/>
      <c r="LT79" s="177"/>
      <c r="LU79" s="177"/>
      <c r="LV79" s="177"/>
      <c r="LW79" s="177"/>
      <c r="LX79" s="177"/>
      <c r="LY79" s="177"/>
      <c r="LZ79" s="177"/>
      <c r="MA79" s="177"/>
      <c r="MB79" s="177"/>
      <c r="MC79" s="177"/>
      <c r="MD79" s="177"/>
      <c r="ME79" s="177"/>
      <c r="MF79" s="177"/>
      <c r="MG79" s="177"/>
      <c r="MH79" s="177"/>
      <c r="MI79" s="177"/>
      <c r="MJ79" s="177"/>
      <c r="MK79" s="177"/>
      <c r="ML79" s="177"/>
      <c r="MM79" s="177"/>
      <c r="MN79" s="177"/>
      <c r="MO79" s="177"/>
      <c r="MP79" s="177"/>
      <c r="MQ79" s="177"/>
      <c r="MR79" s="177"/>
      <c r="MS79" s="177"/>
      <c r="MT79" s="177"/>
      <c r="MU79" s="177"/>
      <c r="MV79" s="177"/>
      <c r="MW79" s="177"/>
      <c r="MX79" s="177"/>
      <c r="MY79" s="177"/>
      <c r="MZ79" s="177"/>
      <c r="NA79" s="177"/>
      <c r="NB79" s="177"/>
      <c r="NC79" s="177"/>
      <c r="ND79" s="177"/>
      <c r="NE79" s="177"/>
      <c r="NF79" s="177"/>
      <c r="NG79" s="177"/>
      <c r="NH79" s="177"/>
      <c r="NI79" s="177"/>
      <c r="NJ79" s="177"/>
      <c r="NK79" s="177"/>
      <c r="NL79" s="177"/>
      <c r="NM79" s="177"/>
      <c r="NN79" s="177"/>
      <c r="NO79" s="177"/>
      <c r="NP79" s="177"/>
      <c r="NQ79" s="177"/>
      <c r="NR79" s="177"/>
      <c r="NS79" s="177"/>
      <c r="NT79" s="177"/>
      <c r="NU79" s="177"/>
      <c r="NV79" s="177"/>
      <c r="NW79" s="177"/>
      <c r="NX79" s="177"/>
      <c r="NY79" s="177"/>
      <c r="NZ79" s="177"/>
      <c r="OA79" s="177"/>
      <c r="OB79" s="177"/>
      <c r="OC79" s="177"/>
      <c r="OD79" s="177"/>
      <c r="OE79" s="177"/>
      <c r="OF79" s="177"/>
      <c r="OG79" s="177"/>
      <c r="OH79" s="177"/>
      <c r="OI79" s="177"/>
      <c r="OJ79" s="177"/>
      <c r="OK79" s="177"/>
      <c r="OL79" s="177"/>
      <c r="OM79" s="177"/>
      <c r="ON79" s="177"/>
      <c r="OO79" s="177"/>
      <c r="OP79" s="177"/>
      <c r="OQ79" s="177"/>
      <c r="OR79" s="177"/>
      <c r="OS79" s="177"/>
      <c r="OT79" s="177"/>
      <c r="OU79" s="177"/>
      <c r="OV79" s="177"/>
      <c r="OW79" s="177"/>
      <c r="OX79" s="177"/>
      <c r="OY79" s="177"/>
      <c r="OZ79" s="177"/>
      <c r="PA79" s="177"/>
      <c r="PB79" s="177"/>
      <c r="PC79" s="177"/>
      <c r="PD79" s="177"/>
      <c r="PE79" s="177"/>
      <c r="PF79" s="177"/>
      <c r="PG79" s="177"/>
      <c r="PH79" s="177"/>
      <c r="PI79" s="177"/>
      <c r="PJ79" s="177"/>
      <c r="PK79" s="177"/>
      <c r="PL79" s="177"/>
      <c r="PM79" s="177"/>
      <c r="PN79" s="177"/>
      <c r="PO79" s="177"/>
      <c r="PP79" s="177"/>
      <c r="PQ79" s="177"/>
      <c r="PR79" s="177"/>
      <c r="PS79" s="177"/>
      <c r="PT79" s="177"/>
      <c r="PU79" s="177"/>
      <c r="PV79" s="177"/>
      <c r="PW79" s="177"/>
      <c r="PX79" s="177"/>
      <c r="PY79" s="177"/>
      <c r="PZ79" s="177"/>
      <c r="QA79" s="177"/>
      <c r="QB79" s="177"/>
      <c r="QC79" s="177"/>
      <c r="QD79" s="177"/>
      <c r="QE79" s="177"/>
      <c r="QF79" s="177"/>
      <c r="QG79" s="177"/>
      <c r="QH79" s="177"/>
      <c r="QI79" s="177"/>
      <c r="QJ79" s="177"/>
      <c r="QK79" s="177"/>
      <c r="QL79" s="177"/>
      <c r="QM79" s="177"/>
      <c r="QN79" s="177"/>
      <c r="QO79" s="177"/>
      <c r="QP79" s="177"/>
      <c r="QQ79" s="177"/>
      <c r="QR79" s="177"/>
      <c r="QS79" s="177"/>
      <c r="QT79" s="177"/>
      <c r="QU79" s="177"/>
      <c r="QV79" s="177"/>
      <c r="QW79" s="177"/>
      <c r="QX79" s="177"/>
      <c r="QY79" s="177"/>
      <c r="QZ79" s="177"/>
      <c r="RA79" s="177"/>
      <c r="RB79" s="177"/>
      <c r="RC79" s="177"/>
      <c r="RD79" s="177"/>
      <c r="RE79" s="177"/>
      <c r="RF79" s="177"/>
      <c r="RG79" s="177"/>
      <c r="RH79" s="177"/>
      <c r="RI79" s="177"/>
      <c r="RJ79" s="177"/>
      <c r="RK79" s="177"/>
      <c r="RL79" s="177"/>
      <c r="RM79" s="177"/>
      <c r="RN79" s="177"/>
      <c r="RO79" s="177"/>
      <c r="RP79" s="177"/>
      <c r="RQ79" s="177"/>
      <c r="RR79" s="177"/>
      <c r="RS79" s="177"/>
      <c r="RT79" s="177"/>
      <c r="RU79" s="177"/>
      <c r="RV79" s="177"/>
      <c r="RW79" s="177"/>
      <c r="RX79" s="177"/>
      <c r="RY79" s="177"/>
      <c r="RZ79" s="177"/>
      <c r="SA79" s="177"/>
      <c r="SB79" s="177"/>
      <c r="SC79" s="177"/>
      <c r="SD79" s="177"/>
      <c r="SE79" s="177"/>
      <c r="SF79" s="177"/>
      <c r="SG79" s="177"/>
      <c r="SH79" s="177"/>
      <c r="SI79" s="177"/>
      <c r="SJ79" s="177"/>
      <c r="SK79" s="177"/>
      <c r="SL79" s="177"/>
      <c r="SM79" s="177"/>
      <c r="SN79" s="177"/>
      <c r="SO79" s="177"/>
      <c r="SP79" s="177"/>
      <c r="SQ79" s="177"/>
      <c r="SR79" s="177"/>
      <c r="SS79" s="177"/>
      <c r="ST79" s="177"/>
      <c r="SU79" s="177"/>
      <c r="SV79" s="177"/>
      <c r="SW79" s="177"/>
      <c r="SX79" s="177"/>
      <c r="SY79" s="177"/>
      <c r="SZ79" s="177"/>
      <c r="TA79" s="177"/>
      <c r="TB79" s="177"/>
      <c r="TC79" s="177"/>
      <c r="TD79" s="177"/>
      <c r="TE79" s="177"/>
      <c r="TF79" s="177"/>
      <c r="TG79" s="177"/>
      <c r="TH79" s="177"/>
      <c r="TI79" s="177"/>
      <c r="TJ79" s="177"/>
      <c r="TK79" s="177"/>
      <c r="TL79" s="177"/>
      <c r="TM79" s="177"/>
      <c r="TN79" s="177"/>
      <c r="TO79" s="177"/>
      <c r="TP79" s="177"/>
      <c r="TQ79" s="177"/>
      <c r="TR79" s="177"/>
      <c r="TS79" s="177"/>
      <c r="TT79" s="177"/>
      <c r="TU79" s="177"/>
      <c r="TV79" s="177"/>
      <c r="TW79" s="177"/>
      <c r="TX79" s="177"/>
      <c r="TY79" s="177"/>
      <c r="TZ79" s="177"/>
      <c r="UA79" s="177"/>
      <c r="UB79" s="177"/>
      <c r="UC79" s="177"/>
      <c r="UD79" s="177"/>
      <c r="UE79" s="177"/>
      <c r="UF79" s="177"/>
      <c r="UG79" s="177"/>
      <c r="UH79" s="177"/>
      <c r="UI79" s="177"/>
      <c r="UJ79" s="177"/>
      <c r="UK79" s="177"/>
      <c r="UL79" s="177"/>
      <c r="UM79" s="177"/>
      <c r="UN79" s="177"/>
      <c r="UO79" s="177"/>
      <c r="UP79" s="177"/>
      <c r="UQ79" s="177"/>
      <c r="UR79" s="177"/>
      <c r="US79" s="177"/>
      <c r="UT79" s="177"/>
      <c r="UU79" s="177"/>
      <c r="UV79" s="177"/>
      <c r="UW79" s="177"/>
      <c r="UX79" s="177"/>
      <c r="UY79" s="177"/>
      <c r="UZ79" s="177"/>
      <c r="VA79" s="177"/>
      <c r="VB79" s="177"/>
      <c r="VC79" s="177"/>
      <c r="VD79" s="177"/>
      <c r="VE79" s="177"/>
      <c r="VF79" s="177"/>
      <c r="VG79" s="177"/>
      <c r="VH79" s="177"/>
      <c r="VI79" s="177"/>
      <c r="VJ79" s="177"/>
      <c r="VK79" s="177"/>
      <c r="VL79" s="177"/>
      <c r="VM79" s="177"/>
      <c r="VN79" s="177"/>
      <c r="VO79" s="177"/>
      <c r="VP79" s="177"/>
      <c r="VQ79" s="177"/>
      <c r="VR79" s="177"/>
      <c r="VS79" s="177"/>
      <c r="VT79" s="177"/>
      <c r="VU79" s="177"/>
      <c r="VV79" s="177"/>
      <c r="VW79" s="177"/>
      <c r="VX79" s="177"/>
      <c r="VY79" s="177"/>
      <c r="VZ79" s="177"/>
      <c r="WA79" s="177"/>
      <c r="WB79" s="177"/>
      <c r="WC79" s="177"/>
      <c r="WD79" s="177"/>
      <c r="WE79" s="177"/>
      <c r="WF79" s="177"/>
      <c r="WG79" s="177"/>
      <c r="WH79" s="177"/>
      <c r="WI79" s="177"/>
      <c r="WJ79" s="177"/>
      <c r="WK79" s="177"/>
      <c r="WL79" s="177"/>
      <c r="WM79" s="177"/>
      <c r="WN79" s="177"/>
      <c r="WO79" s="177"/>
      <c r="WP79" s="177"/>
      <c r="WQ79" s="177"/>
      <c r="WR79" s="177"/>
      <c r="WS79" s="177"/>
      <c r="WT79" s="177"/>
      <c r="WU79" s="177"/>
      <c r="WV79" s="177"/>
      <c r="WW79" s="177"/>
      <c r="WX79" s="177"/>
      <c r="WY79" s="177"/>
      <c r="WZ79" s="177"/>
      <c r="XA79" s="177"/>
      <c r="XB79" s="177"/>
      <c r="XC79" s="177"/>
      <c r="XD79" s="177"/>
      <c r="XE79" s="177"/>
      <c r="XF79" s="177"/>
      <c r="XG79" s="177"/>
      <c r="XH79" s="177"/>
      <c r="XI79" s="177"/>
      <c r="XJ79" s="177"/>
      <c r="XK79" s="177"/>
      <c r="XL79" s="177"/>
      <c r="XM79" s="177"/>
      <c r="XN79" s="177"/>
      <c r="XO79" s="177"/>
      <c r="XP79" s="177"/>
      <c r="XQ79" s="177"/>
      <c r="XR79" s="177"/>
      <c r="XS79" s="177"/>
      <c r="XT79" s="177"/>
      <c r="XU79" s="177"/>
      <c r="XV79" s="177"/>
      <c r="XW79" s="177"/>
      <c r="XX79" s="177"/>
      <c r="XY79" s="177"/>
      <c r="XZ79" s="177"/>
      <c r="YA79" s="177"/>
      <c r="YB79" s="177"/>
      <c r="YC79" s="177"/>
      <c r="YD79" s="177"/>
      <c r="YE79" s="177"/>
      <c r="YF79" s="177"/>
      <c r="YG79" s="177"/>
      <c r="YH79" s="177"/>
      <c r="YI79" s="177"/>
      <c r="YJ79" s="177"/>
      <c r="YK79" s="177"/>
      <c r="YL79" s="177"/>
      <c r="YM79" s="177"/>
      <c r="YN79" s="177"/>
      <c r="YO79" s="177"/>
      <c r="YP79" s="177"/>
      <c r="YQ79" s="177"/>
      <c r="YR79" s="177"/>
      <c r="YS79" s="177"/>
      <c r="YT79" s="177"/>
      <c r="YU79" s="177"/>
      <c r="YV79" s="177"/>
      <c r="YW79" s="177"/>
      <c r="YX79" s="177"/>
      <c r="YY79" s="177"/>
      <c r="YZ79" s="177"/>
      <c r="ZA79" s="177"/>
      <c r="ZB79" s="177"/>
      <c r="ZC79" s="177"/>
      <c r="ZD79" s="177"/>
      <c r="ZE79" s="177"/>
      <c r="ZF79" s="177"/>
      <c r="ZG79" s="177"/>
      <c r="ZH79" s="177"/>
      <c r="ZI79" s="177"/>
      <c r="ZJ79" s="177"/>
      <c r="ZK79" s="177"/>
      <c r="ZL79" s="177"/>
      <c r="ZM79" s="177"/>
      <c r="ZN79" s="177"/>
      <c r="ZO79" s="177"/>
      <c r="ZP79" s="177"/>
      <c r="ZQ79" s="177"/>
      <c r="ZR79" s="177"/>
      <c r="ZS79" s="177"/>
      <c r="ZT79" s="177"/>
      <c r="ZU79" s="177"/>
      <c r="ZV79" s="177"/>
      <c r="ZW79" s="177"/>
      <c r="ZX79" s="177"/>
      <c r="ZY79" s="177"/>
      <c r="ZZ79" s="177"/>
      <c r="AAA79" s="177"/>
      <c r="AAB79" s="177"/>
      <c r="AAC79" s="177"/>
      <c r="AAD79" s="177"/>
      <c r="AAE79" s="177"/>
      <c r="AAF79" s="177"/>
      <c r="AAG79" s="177"/>
      <c r="AAH79" s="177"/>
      <c r="AAI79" s="177"/>
      <c r="AAJ79" s="177"/>
      <c r="AAK79" s="177"/>
      <c r="AAL79" s="177"/>
      <c r="AAM79" s="177"/>
      <c r="AAN79" s="177"/>
      <c r="AAO79" s="177"/>
      <c r="AAP79" s="177"/>
      <c r="AAQ79" s="177"/>
      <c r="AAR79" s="177"/>
      <c r="AAS79" s="177"/>
      <c r="AAT79" s="177"/>
      <c r="AAU79" s="177"/>
      <c r="AAV79" s="177"/>
      <c r="AAW79" s="177"/>
      <c r="AAX79" s="177"/>
      <c r="AAY79" s="177"/>
      <c r="AAZ79" s="177"/>
      <c r="ABA79" s="177"/>
      <c r="ABB79" s="177"/>
      <c r="ABC79" s="177"/>
    </row>
    <row r="80" spans="1:731" s="338" customFormat="1" ht="15" customHeight="1" thickBot="1" x14ac:dyDescent="0.35">
      <c r="A80" s="4"/>
      <c r="D80" s="401"/>
      <c r="E80" s="400" t="s">
        <v>85</v>
      </c>
      <c r="F80" s="166">
        <f>F79+F71</f>
        <v>4077.2054141781541</v>
      </c>
      <c r="G80" s="166">
        <f>G79+G71</f>
        <v>5462.7188034811043</v>
      </c>
      <c r="H80" s="116">
        <f>F80-G80</f>
        <v>-1385.5133893029501</v>
      </c>
      <c r="I80" s="167">
        <f>IFERROR(IF(G80&lt;0,-(F80-G80)/G80,(F80-G80)/G80),"")</f>
        <v>-0.25363073574646294</v>
      </c>
      <c r="J80" s="203">
        <f>J79+J71</f>
        <v>1217173.003482125</v>
      </c>
      <c r="K80" s="166">
        <f>K79+K71</f>
        <v>1630791.9709146265</v>
      </c>
      <c r="L80" s="116">
        <f>J80-K80</f>
        <v>-413618.96743250149</v>
      </c>
      <c r="M80" s="152">
        <f>IFERROR(IF(K80&lt;0,-(J80-K80)/K80,(J80-K80)/K80),"")</f>
        <v>-0.25363073574646317</v>
      </c>
      <c r="N80" s="203">
        <f>N79+N71</f>
        <v>277996.89723973663</v>
      </c>
      <c r="O80" s="166">
        <f>O79+O71</f>
        <v>448473.23868614435</v>
      </c>
      <c r="P80" s="115">
        <f>N80-O80</f>
        <v>-170476.34144640772</v>
      </c>
      <c r="Q80" s="152">
        <f>IFERROR(IF(O80&lt;0,-(N80-O80)/O80,(N80-O80)/O80),"")</f>
        <v>-0.38012600695158183</v>
      </c>
      <c r="R80" s="166">
        <f>R79+R71</f>
        <v>1862.203624</v>
      </c>
      <c r="S80" s="166">
        <f>S79+S71</f>
        <v>457.35519999999997</v>
      </c>
      <c r="T80" s="116">
        <f>R80-S80</f>
        <v>1404.848424</v>
      </c>
      <c r="U80" s="167">
        <f>IFERROR(IF(S80&lt;0,-(R80-S80)/S80,(R80-S80)/S80),"")</f>
        <v>3.071679132542934</v>
      </c>
      <c r="V80" s="166">
        <f>V79+V71</f>
        <v>327819.50879360823</v>
      </c>
      <c r="W80" s="166">
        <f>W79+W71</f>
        <v>338072.86167335679</v>
      </c>
      <c r="X80" s="116">
        <f>V80-W80</f>
        <v>-10253.352879748563</v>
      </c>
      <c r="Y80" s="152">
        <f>IFERROR(IF(W80&lt;0,-(V80-W80)/W80,(V80-W80)/W80),"")</f>
        <v>-3.0328825653137662E-2</v>
      </c>
      <c r="Z80" s="166">
        <f>Z79+Z71</f>
        <v>17945.159328128422</v>
      </c>
      <c r="AA80" s="166">
        <f>AA79+AA71</f>
        <v>110857.63221278752</v>
      </c>
      <c r="AB80" s="115">
        <f>Z80-AA80</f>
        <v>-92912.472884659102</v>
      </c>
      <c r="AC80" s="167">
        <f>IFERROR(IF(AA80&lt;0,-(Z80-AA80)/AA80,(Z80-AA80)/AA80),"")</f>
        <v>-0.8381242773282106</v>
      </c>
      <c r="AD80" s="118">
        <f>AD79+AD71</f>
        <v>13633.434745397024</v>
      </c>
      <c r="AE80" s="118">
        <f>AE79+AE71</f>
        <v>7399.1992335717177</v>
      </c>
      <c r="AF80" s="115">
        <f>AD80-AE80</f>
        <v>6234.2355118253063</v>
      </c>
      <c r="AG80" s="340">
        <v>0</v>
      </c>
      <c r="AH80" s="118">
        <f>AH79+AH71</f>
        <v>16613.514725308181</v>
      </c>
      <c r="AI80" s="118">
        <f>AI79+AI71</f>
        <v>0</v>
      </c>
      <c r="AJ80" s="116">
        <f>AH80-AI80</f>
        <v>16613.514725308181</v>
      </c>
      <c r="AK80" s="204">
        <v>0</v>
      </c>
      <c r="AL80" s="166">
        <f>AL79+AL71</f>
        <v>20925.239308039578</v>
      </c>
      <c r="AM80" s="205">
        <f>AM79+AM71</f>
        <v>103458.43297921581</v>
      </c>
      <c r="AN80" s="116">
        <f>AL80-AM80</f>
        <v>-82533.193671176239</v>
      </c>
      <c r="AO80" s="167">
        <f>IFERROR(IF(AM80&lt;0,-(AL80-AM80)/AM80,(AL80-AM80)/AM80),"")</f>
        <v>-0.79774254543132961</v>
      </c>
      <c r="AP80" s="317"/>
      <c r="AQ80" s="288"/>
      <c r="AR80" s="289">
        <f t="shared" si="83"/>
        <v>-65905.567257999995</v>
      </c>
      <c r="AS80" s="289"/>
      <c r="AT80" s="289">
        <f t="shared" si="84"/>
        <v>0</v>
      </c>
      <c r="AU80" s="289"/>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7"/>
      <c r="BS80" s="177"/>
      <c r="BT80" s="177"/>
      <c r="BU80" s="177"/>
      <c r="BV80" s="177"/>
      <c r="BW80" s="177"/>
      <c r="BX80" s="177"/>
      <c r="BY80" s="177"/>
      <c r="BZ80" s="177"/>
      <c r="CA80" s="177"/>
      <c r="CB80" s="177"/>
      <c r="CC80" s="177"/>
      <c r="CD80" s="177"/>
      <c r="CE80" s="177"/>
      <c r="CF80" s="177"/>
      <c r="CG80" s="177"/>
      <c r="CH80" s="177"/>
      <c r="CI80" s="177"/>
      <c r="CJ80" s="177"/>
      <c r="CK80" s="177"/>
      <c r="CL80" s="177"/>
      <c r="CM80" s="177"/>
      <c r="CN80" s="177"/>
      <c r="CO80" s="177"/>
      <c r="CP80" s="177"/>
      <c r="CQ80" s="177"/>
      <c r="CR80" s="177"/>
      <c r="CS80" s="177"/>
      <c r="CT80" s="177"/>
      <c r="CU80" s="177"/>
      <c r="CV80" s="177"/>
      <c r="CW80" s="177"/>
      <c r="CX80" s="177"/>
      <c r="CY80" s="177"/>
      <c r="CZ80" s="177"/>
      <c r="DA80" s="177"/>
      <c r="DB80" s="177"/>
      <c r="DC80" s="177"/>
      <c r="DD80" s="177"/>
      <c r="DE80" s="177"/>
      <c r="DF80" s="177"/>
      <c r="DG80" s="177"/>
      <c r="DH80" s="177"/>
      <c r="DI80" s="177"/>
      <c r="DJ80" s="177"/>
      <c r="DK80" s="177"/>
      <c r="DL80" s="177"/>
      <c r="DM80" s="177"/>
      <c r="DN80" s="177"/>
      <c r="DO80" s="177"/>
      <c r="DP80" s="177"/>
      <c r="DQ80" s="177"/>
      <c r="DR80" s="177"/>
      <c r="DS80" s="177"/>
      <c r="DT80" s="177"/>
      <c r="DU80" s="177"/>
      <c r="DV80" s="177"/>
      <c r="DW80" s="177"/>
      <c r="DX80" s="177"/>
      <c r="DY80" s="177"/>
      <c r="DZ80" s="177"/>
      <c r="EA80" s="177"/>
      <c r="EB80" s="177"/>
      <c r="EC80" s="177"/>
      <c r="ED80" s="177"/>
      <c r="EE80" s="177"/>
      <c r="EF80" s="177"/>
      <c r="EG80" s="177"/>
      <c r="EH80" s="177"/>
      <c r="EI80" s="177"/>
      <c r="EJ80" s="177"/>
      <c r="EK80" s="177"/>
      <c r="EL80" s="177"/>
      <c r="EM80" s="177"/>
      <c r="EN80" s="177"/>
      <c r="EO80" s="177"/>
      <c r="EP80" s="177"/>
      <c r="EQ80" s="177"/>
      <c r="ER80" s="177"/>
      <c r="ES80" s="177"/>
      <c r="ET80" s="177"/>
      <c r="EU80" s="177"/>
      <c r="EV80" s="177"/>
      <c r="EW80" s="177"/>
      <c r="EX80" s="177"/>
      <c r="EY80" s="177"/>
      <c r="EZ80" s="177"/>
      <c r="FA80" s="177"/>
      <c r="FB80" s="177"/>
      <c r="FC80" s="177"/>
      <c r="FD80" s="177"/>
      <c r="FE80" s="177"/>
      <c r="FF80" s="177"/>
      <c r="FG80" s="177"/>
      <c r="FH80" s="177"/>
      <c r="FI80" s="177"/>
      <c r="FJ80" s="177"/>
      <c r="FK80" s="177"/>
      <c r="FL80" s="177"/>
      <c r="FM80" s="177"/>
      <c r="FN80" s="177"/>
      <c r="FO80" s="177"/>
      <c r="FP80" s="177"/>
      <c r="FQ80" s="177"/>
      <c r="FR80" s="177"/>
      <c r="FS80" s="177"/>
      <c r="FT80" s="177"/>
      <c r="FU80" s="177"/>
      <c r="FV80" s="177"/>
      <c r="FW80" s="177"/>
      <c r="FX80" s="177"/>
      <c r="FY80" s="177"/>
      <c r="FZ80" s="177"/>
      <c r="GA80" s="177"/>
      <c r="GB80" s="177"/>
      <c r="GC80" s="177"/>
      <c r="GD80" s="177"/>
      <c r="GE80" s="177"/>
      <c r="GF80" s="177"/>
      <c r="GG80" s="177"/>
      <c r="GH80" s="177"/>
      <c r="GI80" s="177"/>
      <c r="GJ80" s="177"/>
      <c r="GK80" s="177"/>
      <c r="GL80" s="177"/>
      <c r="GM80" s="177"/>
      <c r="GN80" s="177"/>
      <c r="GO80" s="177"/>
      <c r="GP80" s="177"/>
      <c r="GQ80" s="177"/>
      <c r="GR80" s="177"/>
      <c r="GS80" s="177"/>
      <c r="GT80" s="177"/>
      <c r="GU80" s="177"/>
      <c r="GV80" s="177"/>
      <c r="GW80" s="177"/>
      <c r="GX80" s="177"/>
      <c r="GY80" s="177"/>
      <c r="GZ80" s="177"/>
      <c r="HA80" s="177"/>
      <c r="HB80" s="177"/>
      <c r="HC80" s="177"/>
      <c r="HD80" s="177"/>
      <c r="HE80" s="177"/>
      <c r="HF80" s="177"/>
      <c r="HG80" s="177"/>
      <c r="HH80" s="177"/>
      <c r="HI80" s="177"/>
      <c r="HJ80" s="177"/>
      <c r="HK80" s="177"/>
      <c r="HL80" s="177"/>
      <c r="HM80" s="177"/>
      <c r="HN80" s="177"/>
      <c r="HO80" s="177"/>
      <c r="HP80" s="177"/>
      <c r="HQ80" s="177"/>
      <c r="HR80" s="177"/>
      <c r="HS80" s="177"/>
      <c r="HT80" s="177"/>
      <c r="HU80" s="177"/>
      <c r="HV80" s="177"/>
      <c r="HW80" s="177"/>
      <c r="HX80" s="177"/>
      <c r="HY80" s="177"/>
      <c r="HZ80" s="177"/>
      <c r="IA80" s="177"/>
      <c r="IB80" s="177"/>
      <c r="IC80" s="177"/>
      <c r="ID80" s="177"/>
      <c r="IE80" s="177"/>
      <c r="IF80" s="177"/>
      <c r="IG80" s="177"/>
      <c r="IH80" s="177"/>
      <c r="II80" s="177"/>
      <c r="IJ80" s="177"/>
      <c r="IK80" s="177"/>
      <c r="IL80" s="177"/>
      <c r="IM80" s="177"/>
      <c r="IN80" s="177"/>
      <c r="IO80" s="177"/>
      <c r="IP80" s="177"/>
      <c r="IQ80" s="177"/>
      <c r="IR80" s="177"/>
      <c r="IS80" s="177"/>
      <c r="IT80" s="177"/>
      <c r="IU80" s="177"/>
      <c r="IV80" s="177"/>
      <c r="IW80" s="177"/>
      <c r="IX80" s="177"/>
      <c r="IY80" s="177"/>
      <c r="IZ80" s="177"/>
      <c r="JA80" s="177"/>
      <c r="JB80" s="177"/>
      <c r="JC80" s="177"/>
      <c r="JD80" s="177"/>
      <c r="JE80" s="177"/>
      <c r="JJ80" s="177"/>
      <c r="JK80" s="177"/>
      <c r="JL80" s="177"/>
      <c r="JM80" s="177"/>
      <c r="JN80" s="177"/>
      <c r="JO80" s="177"/>
      <c r="JP80" s="177"/>
      <c r="JQ80" s="177"/>
      <c r="JR80" s="177"/>
      <c r="JS80" s="177"/>
      <c r="JT80" s="177"/>
      <c r="JU80" s="177"/>
      <c r="JV80" s="177"/>
      <c r="JW80" s="177"/>
      <c r="JX80" s="177"/>
      <c r="JY80" s="177"/>
      <c r="JZ80" s="177"/>
      <c r="KA80" s="177"/>
      <c r="KB80" s="177"/>
      <c r="KC80" s="177"/>
      <c r="KD80" s="177"/>
      <c r="KE80" s="177"/>
      <c r="KF80" s="177"/>
      <c r="KG80" s="177"/>
      <c r="KH80" s="177"/>
      <c r="KI80" s="177"/>
      <c r="KJ80" s="177"/>
      <c r="KK80" s="177"/>
      <c r="KL80" s="177"/>
      <c r="KM80" s="177"/>
      <c r="KN80" s="177"/>
      <c r="KO80" s="177"/>
      <c r="KP80" s="177"/>
      <c r="KQ80" s="177"/>
      <c r="KR80" s="177"/>
      <c r="KS80" s="177"/>
      <c r="KT80" s="177"/>
      <c r="KU80" s="177"/>
      <c r="KV80" s="177"/>
      <c r="KW80" s="177"/>
      <c r="KX80" s="177"/>
      <c r="KY80" s="177"/>
      <c r="KZ80" s="177"/>
      <c r="LA80" s="177"/>
      <c r="LB80" s="177"/>
      <c r="LC80" s="177"/>
      <c r="LD80" s="177"/>
      <c r="LE80" s="177"/>
      <c r="LF80" s="177"/>
      <c r="LG80" s="177"/>
      <c r="LH80" s="177"/>
      <c r="LI80" s="177"/>
      <c r="LJ80" s="177"/>
      <c r="LK80" s="177"/>
      <c r="LL80" s="177"/>
      <c r="LM80" s="177"/>
      <c r="LN80" s="177"/>
      <c r="LO80" s="177"/>
      <c r="LP80" s="177"/>
      <c r="LQ80" s="177"/>
      <c r="LR80" s="177"/>
      <c r="LS80" s="177"/>
      <c r="LT80" s="177"/>
      <c r="LU80" s="177"/>
      <c r="LV80" s="177"/>
      <c r="LW80" s="177"/>
      <c r="LX80" s="177"/>
      <c r="LY80" s="177"/>
      <c r="LZ80" s="177"/>
      <c r="MA80" s="177"/>
      <c r="MB80" s="177"/>
      <c r="MC80" s="177"/>
      <c r="MD80" s="177"/>
      <c r="ME80" s="177"/>
      <c r="MF80" s="177"/>
      <c r="MG80" s="177"/>
      <c r="MH80" s="177"/>
      <c r="MI80" s="177"/>
      <c r="MJ80" s="177"/>
      <c r="MK80" s="177"/>
      <c r="ML80" s="177"/>
      <c r="MM80" s="177"/>
      <c r="MN80" s="177"/>
      <c r="MO80" s="177"/>
      <c r="MP80" s="177"/>
      <c r="MQ80" s="177"/>
      <c r="MR80" s="177"/>
      <c r="MS80" s="177"/>
      <c r="MT80" s="177"/>
      <c r="MU80" s="177"/>
      <c r="MV80" s="177"/>
      <c r="MW80" s="177"/>
      <c r="MX80" s="177"/>
      <c r="MY80" s="177"/>
      <c r="MZ80" s="177"/>
      <c r="NA80" s="177"/>
      <c r="NB80" s="177"/>
      <c r="NC80" s="177"/>
      <c r="ND80" s="177"/>
      <c r="NE80" s="177"/>
      <c r="NF80" s="177"/>
      <c r="NG80" s="177"/>
      <c r="NH80" s="177"/>
      <c r="NI80" s="177"/>
      <c r="NJ80" s="177"/>
      <c r="NK80" s="177"/>
      <c r="NL80" s="177"/>
      <c r="NM80" s="177"/>
      <c r="NN80" s="177"/>
      <c r="NO80" s="177"/>
      <c r="NP80" s="177"/>
      <c r="NQ80" s="177"/>
      <c r="NR80" s="177"/>
      <c r="NS80" s="177"/>
      <c r="NT80" s="177"/>
      <c r="NU80" s="177"/>
      <c r="NV80" s="177"/>
      <c r="NW80" s="177"/>
      <c r="NX80" s="177"/>
      <c r="NY80" s="177"/>
      <c r="NZ80" s="177"/>
      <c r="OA80" s="177"/>
      <c r="OB80" s="177"/>
      <c r="OC80" s="177"/>
      <c r="OD80" s="177"/>
      <c r="OE80" s="177"/>
      <c r="OF80" s="177"/>
      <c r="OG80" s="177"/>
      <c r="OH80" s="177"/>
      <c r="OI80" s="177"/>
      <c r="OJ80" s="177"/>
      <c r="OK80" s="177"/>
      <c r="OL80" s="177"/>
      <c r="OM80" s="177"/>
      <c r="ON80" s="177"/>
      <c r="OO80" s="177"/>
      <c r="OP80" s="177"/>
      <c r="OQ80" s="177"/>
      <c r="OR80" s="177"/>
      <c r="OS80" s="177"/>
      <c r="OT80" s="177"/>
      <c r="OU80" s="177"/>
      <c r="OV80" s="177"/>
      <c r="OW80" s="177"/>
      <c r="OX80" s="177"/>
      <c r="OY80" s="177"/>
      <c r="OZ80" s="177"/>
      <c r="PA80" s="177"/>
      <c r="PB80" s="177"/>
      <c r="PC80" s="177"/>
      <c r="PD80" s="177"/>
      <c r="PE80" s="177"/>
      <c r="PF80" s="177"/>
      <c r="PG80" s="177"/>
      <c r="PH80" s="177"/>
      <c r="PI80" s="177"/>
      <c r="PJ80" s="177"/>
      <c r="PK80" s="177"/>
      <c r="PL80" s="177"/>
      <c r="PM80" s="177"/>
      <c r="PN80" s="177"/>
      <c r="PO80" s="177"/>
      <c r="PP80" s="177"/>
      <c r="PQ80" s="177"/>
      <c r="PR80" s="177"/>
      <c r="PS80" s="177"/>
      <c r="PT80" s="177"/>
      <c r="PU80" s="177"/>
      <c r="PV80" s="177"/>
      <c r="PW80" s="177"/>
      <c r="PX80" s="177"/>
      <c r="PY80" s="177"/>
      <c r="PZ80" s="177"/>
      <c r="QA80" s="177"/>
      <c r="QB80" s="177"/>
      <c r="QC80" s="177"/>
      <c r="QD80" s="177"/>
      <c r="QE80" s="177"/>
      <c r="QF80" s="177"/>
      <c r="QG80" s="177"/>
      <c r="QH80" s="177"/>
      <c r="QI80" s="177"/>
      <c r="QJ80" s="177"/>
      <c r="QK80" s="177"/>
      <c r="QL80" s="177"/>
      <c r="QM80" s="177"/>
      <c r="QN80" s="177"/>
      <c r="QO80" s="177"/>
      <c r="QP80" s="177"/>
      <c r="QQ80" s="177"/>
      <c r="QR80" s="177"/>
      <c r="QS80" s="177"/>
      <c r="QT80" s="177"/>
      <c r="QU80" s="177"/>
      <c r="QV80" s="177"/>
      <c r="QW80" s="177"/>
      <c r="QX80" s="177"/>
      <c r="QY80" s="177"/>
      <c r="QZ80" s="177"/>
      <c r="RA80" s="177"/>
      <c r="RB80" s="177"/>
      <c r="RC80" s="177"/>
      <c r="RD80" s="177"/>
      <c r="RE80" s="177"/>
      <c r="RF80" s="177"/>
      <c r="RG80" s="177"/>
      <c r="RH80" s="177"/>
      <c r="RI80" s="177"/>
      <c r="RJ80" s="177"/>
      <c r="RK80" s="177"/>
      <c r="RL80" s="177"/>
      <c r="RM80" s="177"/>
      <c r="RN80" s="177"/>
      <c r="RO80" s="177"/>
      <c r="RP80" s="177"/>
      <c r="RQ80" s="177"/>
      <c r="RR80" s="177"/>
      <c r="RS80" s="177"/>
      <c r="RT80" s="177"/>
      <c r="RU80" s="177"/>
      <c r="RV80" s="177"/>
      <c r="RW80" s="177"/>
      <c r="RX80" s="177"/>
      <c r="RY80" s="177"/>
      <c r="RZ80" s="177"/>
      <c r="SA80" s="177"/>
      <c r="SB80" s="177"/>
      <c r="SC80" s="177"/>
      <c r="SD80" s="177"/>
      <c r="SE80" s="177"/>
      <c r="SF80" s="177"/>
      <c r="SG80" s="177"/>
      <c r="SH80" s="177"/>
      <c r="SI80" s="177"/>
      <c r="SJ80" s="177"/>
      <c r="SK80" s="177"/>
      <c r="SL80" s="177"/>
      <c r="SM80" s="177"/>
      <c r="SN80" s="177"/>
      <c r="SO80" s="177"/>
      <c r="SP80" s="177"/>
      <c r="SQ80" s="177"/>
      <c r="SR80" s="177"/>
      <c r="SS80" s="177"/>
      <c r="ST80" s="177"/>
      <c r="SU80" s="177"/>
      <c r="SV80" s="177"/>
      <c r="SW80" s="177"/>
      <c r="SX80" s="177"/>
      <c r="SY80" s="177"/>
      <c r="SZ80" s="177"/>
      <c r="TA80" s="177"/>
      <c r="TB80" s="177"/>
      <c r="TC80" s="177"/>
      <c r="TD80" s="177"/>
      <c r="TE80" s="177"/>
      <c r="TF80" s="177"/>
      <c r="TG80" s="177"/>
      <c r="TH80" s="177"/>
      <c r="TI80" s="177"/>
      <c r="TJ80" s="177"/>
      <c r="TK80" s="177"/>
      <c r="TL80" s="177"/>
      <c r="TM80" s="177"/>
      <c r="TN80" s="177"/>
      <c r="TO80" s="177"/>
      <c r="TP80" s="177"/>
      <c r="TQ80" s="177"/>
      <c r="TR80" s="177"/>
      <c r="TS80" s="177"/>
      <c r="TT80" s="177"/>
      <c r="TU80" s="177"/>
      <c r="TV80" s="177"/>
      <c r="TW80" s="177"/>
      <c r="TX80" s="177"/>
      <c r="TY80" s="177"/>
      <c r="TZ80" s="177"/>
      <c r="UA80" s="177"/>
      <c r="UB80" s="177"/>
      <c r="UC80" s="177"/>
      <c r="UD80" s="177"/>
      <c r="UE80" s="177"/>
      <c r="UF80" s="177"/>
      <c r="UG80" s="177"/>
      <c r="UH80" s="177"/>
      <c r="UI80" s="177"/>
      <c r="UJ80" s="177"/>
      <c r="UK80" s="177"/>
      <c r="UL80" s="177"/>
      <c r="UM80" s="177"/>
      <c r="UN80" s="177"/>
      <c r="UO80" s="177"/>
      <c r="UP80" s="177"/>
      <c r="UQ80" s="177"/>
      <c r="UR80" s="177"/>
      <c r="US80" s="177"/>
      <c r="UT80" s="177"/>
      <c r="UU80" s="177"/>
      <c r="UV80" s="177"/>
      <c r="UW80" s="177"/>
      <c r="UX80" s="177"/>
      <c r="UY80" s="177"/>
      <c r="UZ80" s="177"/>
      <c r="VA80" s="177"/>
      <c r="VB80" s="177"/>
      <c r="VC80" s="177"/>
      <c r="VD80" s="177"/>
      <c r="VE80" s="177"/>
      <c r="VF80" s="177"/>
      <c r="VG80" s="177"/>
      <c r="VH80" s="177"/>
      <c r="VI80" s="177"/>
      <c r="VJ80" s="177"/>
      <c r="VK80" s="177"/>
      <c r="VL80" s="177"/>
      <c r="VM80" s="177"/>
      <c r="VN80" s="177"/>
      <c r="VO80" s="177"/>
      <c r="VP80" s="177"/>
      <c r="VQ80" s="177"/>
      <c r="VR80" s="177"/>
      <c r="VS80" s="177"/>
      <c r="VT80" s="177"/>
      <c r="VU80" s="177"/>
      <c r="VV80" s="177"/>
      <c r="VW80" s="177"/>
      <c r="VX80" s="177"/>
      <c r="VY80" s="177"/>
      <c r="VZ80" s="177"/>
      <c r="WA80" s="177"/>
      <c r="WB80" s="177"/>
      <c r="WC80" s="177"/>
      <c r="WD80" s="177"/>
      <c r="WE80" s="177"/>
      <c r="WF80" s="177"/>
      <c r="WG80" s="177"/>
      <c r="WH80" s="177"/>
      <c r="WI80" s="177"/>
      <c r="WJ80" s="177"/>
      <c r="WK80" s="177"/>
      <c r="WL80" s="177"/>
      <c r="WM80" s="177"/>
      <c r="WN80" s="177"/>
      <c r="WO80" s="177"/>
      <c r="WP80" s="177"/>
      <c r="WQ80" s="177"/>
      <c r="WR80" s="177"/>
      <c r="WS80" s="177"/>
      <c r="WT80" s="177"/>
      <c r="WU80" s="177"/>
      <c r="WV80" s="177"/>
      <c r="WW80" s="177"/>
      <c r="WX80" s="177"/>
      <c r="WY80" s="177"/>
      <c r="WZ80" s="177"/>
      <c r="XA80" s="177"/>
      <c r="XB80" s="177"/>
      <c r="XC80" s="177"/>
      <c r="XD80" s="177"/>
      <c r="XE80" s="177"/>
      <c r="XF80" s="177"/>
      <c r="XG80" s="177"/>
      <c r="XH80" s="177"/>
      <c r="XI80" s="177"/>
      <c r="XJ80" s="177"/>
      <c r="XK80" s="177"/>
      <c r="XL80" s="177"/>
      <c r="XM80" s="177"/>
      <c r="XN80" s="177"/>
      <c r="XO80" s="177"/>
      <c r="XP80" s="177"/>
      <c r="XQ80" s="177"/>
      <c r="XR80" s="177"/>
      <c r="XS80" s="177"/>
      <c r="XT80" s="177"/>
      <c r="XU80" s="177"/>
      <c r="XV80" s="177"/>
      <c r="XW80" s="177"/>
      <c r="XX80" s="177"/>
      <c r="XY80" s="177"/>
      <c r="XZ80" s="177"/>
      <c r="YA80" s="177"/>
      <c r="YB80" s="177"/>
      <c r="YC80" s="177"/>
      <c r="YD80" s="177"/>
      <c r="YE80" s="177"/>
      <c r="YF80" s="177"/>
      <c r="YG80" s="177"/>
      <c r="YH80" s="177"/>
      <c r="YI80" s="177"/>
      <c r="YJ80" s="177"/>
      <c r="YK80" s="177"/>
      <c r="YL80" s="177"/>
      <c r="YM80" s="177"/>
      <c r="YN80" s="177"/>
      <c r="YO80" s="177"/>
      <c r="YP80" s="177"/>
      <c r="YQ80" s="177"/>
      <c r="YR80" s="177"/>
      <c r="YS80" s="177"/>
      <c r="YT80" s="177"/>
      <c r="YU80" s="177"/>
      <c r="YV80" s="177"/>
      <c r="YW80" s="177"/>
      <c r="YX80" s="177"/>
      <c r="YY80" s="177"/>
      <c r="YZ80" s="177"/>
      <c r="ZA80" s="177"/>
      <c r="ZB80" s="177"/>
      <c r="ZC80" s="177"/>
      <c r="ZD80" s="177"/>
      <c r="ZE80" s="177"/>
      <c r="ZF80" s="177"/>
      <c r="ZG80" s="177"/>
      <c r="ZH80" s="177"/>
      <c r="ZI80" s="177"/>
      <c r="ZJ80" s="177"/>
      <c r="ZK80" s="177"/>
      <c r="ZL80" s="177"/>
      <c r="ZM80" s="177"/>
      <c r="ZN80" s="177"/>
      <c r="ZO80" s="177"/>
      <c r="ZP80" s="177"/>
      <c r="ZQ80" s="177"/>
      <c r="ZR80" s="177"/>
      <c r="ZS80" s="177"/>
      <c r="ZT80" s="177"/>
      <c r="ZU80" s="177"/>
      <c r="ZV80" s="177"/>
      <c r="ZW80" s="177"/>
      <c r="ZX80" s="177"/>
      <c r="ZY80" s="177"/>
      <c r="ZZ80" s="177"/>
      <c r="AAA80" s="177"/>
      <c r="AAB80" s="177"/>
      <c r="AAC80" s="177"/>
      <c r="AAD80" s="177"/>
      <c r="AAE80" s="177"/>
      <c r="AAF80" s="177"/>
      <c r="AAG80" s="177"/>
      <c r="AAH80" s="177"/>
      <c r="AAI80" s="177"/>
      <c r="AAJ80" s="177"/>
      <c r="AAK80" s="177"/>
      <c r="AAL80" s="177"/>
      <c r="AAM80" s="177"/>
      <c r="AAN80" s="177"/>
      <c r="AAO80" s="177"/>
      <c r="AAP80" s="177"/>
      <c r="AAQ80" s="177"/>
      <c r="AAR80" s="177"/>
      <c r="AAS80" s="177"/>
      <c r="AAT80" s="177"/>
      <c r="AAU80" s="177"/>
      <c r="AAV80" s="177"/>
      <c r="AAW80" s="177"/>
      <c r="AAX80" s="177"/>
      <c r="AAY80" s="177"/>
      <c r="AAZ80" s="177"/>
      <c r="ABA80" s="177"/>
      <c r="ABB80" s="177"/>
      <c r="ABC80" s="177"/>
    </row>
    <row r="81" spans="4:731" ht="15" customHeight="1" thickBot="1" x14ac:dyDescent="0.35">
      <c r="D81" s="94"/>
      <c r="E81" s="256" t="s">
        <v>86</v>
      </c>
      <c r="F81" s="94">
        <f>F80+F65+F63+F60+F43+F40+F33+F30+F25+F18+F9</f>
        <v>18223.476385160677</v>
      </c>
      <c r="G81" s="94">
        <f>G80+G65+G63+G60+G43+G40+G33+G30+G25+G18+G9</f>
        <v>19538.53620696436</v>
      </c>
      <c r="H81" s="94">
        <f>F81-G81</f>
        <v>-1315.059821803683</v>
      </c>
      <c r="I81" s="95">
        <f>IFERROR(IF(G81&lt;0,-(F81-G81)/G81,(F81-G81)/G81),"")</f>
        <v>-6.7305954134626533E-2</v>
      </c>
      <c r="J81" s="94">
        <f>J80+J71+J65+J63+J60+J43+J40+J33+J30+J25+J18+J9</f>
        <v>6494996.8307206426</v>
      </c>
      <c r="K81" s="94">
        <f>K80+K71+K65+K63+K60+K43+K40+K33+K30+K25+K18+K9</f>
        <v>7262890.7440304123</v>
      </c>
      <c r="L81" s="94">
        <f>J81-K81</f>
        <v>-767893.9133097697</v>
      </c>
      <c r="M81" s="95">
        <f>IFERROR(IF(K81&lt;0,-(J81-K81)/K81,(J81-K81)/K81),"")</f>
        <v>-0.10572841315848304</v>
      </c>
      <c r="N81" s="94">
        <f>N80+N65+N63+N60+N43+N40+N33+N30+N25+N18+N9</f>
        <v>1107295.7163387903</v>
      </c>
      <c r="O81" s="94">
        <f>O80+O65+O63+O60+O43+O40+O33+O30+O25+O18+O9</f>
        <v>1503995.2582560787</v>
      </c>
      <c r="P81" s="94">
        <f>N81-O81</f>
        <v>-396699.54191728844</v>
      </c>
      <c r="Q81" s="95">
        <f>IFERROR(IF(O81&lt;0,-(N81-O81)/O81,(N81-O81)/O81),"")</f>
        <v>-0.26376382487885752</v>
      </c>
      <c r="R81" s="94">
        <f>R80+R65+R63+R60+R43+R40+R33+R30+R25+R18+R9</f>
        <v>-1667.4124959999988</v>
      </c>
      <c r="S81" s="94">
        <f>S80+S65+S63+S60+S43+S40+S33+S30+S25+S18+S9</f>
        <v>2954.8975169906153</v>
      </c>
      <c r="T81" s="94">
        <f>R81-S81</f>
        <v>-4622.3100129906143</v>
      </c>
      <c r="U81" s="95">
        <f t="shared" si="80"/>
        <v>-1.5642877583443766</v>
      </c>
      <c r="V81" s="94">
        <f>V80+V65+V63+V60+V43+V40+V33+V30+V25+V18+V9</f>
        <v>1013163.9789650643</v>
      </c>
      <c r="W81" s="94">
        <f>W80+W65+W63+W60+W43+W40+W33+W30+W25+W18+W9</f>
        <v>1067617.2975908369</v>
      </c>
      <c r="X81" s="94">
        <f>V81-W81</f>
        <v>-54453.318625772605</v>
      </c>
      <c r="Y81" s="95">
        <f>IFERROR(IF(W81&lt;0,-(V81-W81)/W81,(V81-W81)/W81),"")</f>
        <v>-5.100453013327045E-2</v>
      </c>
      <c r="Z81" s="94">
        <f>Z80+Z65+Z63+Z60+Z43+Z40+Z33+Z30+Z25+Z18+Z9</f>
        <v>151840.39224572599</v>
      </c>
      <c r="AA81" s="94">
        <f>AA80+AA65+AA63+AA60+AA43+AA40+AA33+AA30+AA25+AA18+AA9</f>
        <v>433628.54386744875</v>
      </c>
      <c r="AB81" s="94">
        <f>Z81-AA81</f>
        <v>-281788.15162172273</v>
      </c>
      <c r="AC81" s="96">
        <f>IFERROR(IF(AA81&lt;0,-(Z81-AA81)/AA81,(Z81-AA81)/AA81),"")</f>
        <v>-0.64983764470048244</v>
      </c>
      <c r="AD81" s="148">
        <f>AD80+AD65+AD63+AD60+AD43+AD40+AD33+AD30+AD25+AD18+AD9</f>
        <v>167831.70566414701</v>
      </c>
      <c r="AE81" s="148">
        <f>AE80+AE65+AE63+AE60+AE43+AE40+AE33+AE30+AE25+AE18+AE9</f>
        <v>39358.591460910844</v>
      </c>
      <c r="AF81" s="148">
        <f>AD81-AE81</f>
        <v>128473.11420323617</v>
      </c>
      <c r="AG81" s="97">
        <f>IFERROR(IF(AE81&lt;0,-(AD81-AE81)/AE81,(AD81-AE81)/AE81),"")</f>
        <v>3.2641695099996095</v>
      </c>
      <c r="AH81" s="148">
        <f>AH80+AH65+AH60+AH43+AH40+AH33+AH30+AH25+AH18+AH9</f>
        <v>26464.358858110179</v>
      </c>
      <c r="AI81" s="148">
        <f>AI80+AI65+AI60+AI43+AI40+AI33+AI30+AI25+AI18+AI9</f>
        <v>3981.837</v>
      </c>
      <c r="AJ81" s="148">
        <f>AH81-AI81</f>
        <v>22482.52185811018</v>
      </c>
      <c r="AK81" s="97">
        <v>0</v>
      </c>
      <c r="AL81" s="94">
        <f>AL80+AL65+AL63+AL60+AL43+AL40+AL33+AL30+AL25+AL18+AL9</f>
        <v>13986.351999689214</v>
      </c>
      <c r="AM81" s="94">
        <f>AM80+AM65+AM63+AM60+AM43+AM40+AM33+AM30+AM25+AM18+AM9</f>
        <v>403955.70440653793</v>
      </c>
      <c r="AN81" s="148">
        <f>AL81-AM81</f>
        <v>-389969.35240684869</v>
      </c>
      <c r="AO81" s="97">
        <f>IFERROR(IF(AM81&lt;0,-(AL81-AM81)/AM81,(AL81-AM81)/AM81),"")</f>
        <v>-0.96537652062560431</v>
      </c>
      <c r="AQ81" s="22"/>
      <c r="AR81" s="1">
        <f t="shared" si="83"/>
        <v>-59376.067368000076</v>
      </c>
      <c r="AS81" s="1">
        <f t="shared" si="83"/>
        <v>5704.314314783609</v>
      </c>
      <c r="AT81" s="1">
        <f>(Z81-AD81+AH81)-AL81</f>
        <v>-3513.3065600000555</v>
      </c>
      <c r="AU81" s="1">
        <f t="shared" si="84"/>
        <v>-5703.9150000000373</v>
      </c>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c r="FI81" s="22"/>
      <c r="FJ81" s="22"/>
      <c r="FK81" s="22"/>
      <c r="FL81" s="22"/>
      <c r="FM81" s="22"/>
      <c r="FN81" s="22"/>
      <c r="FO81" s="22"/>
      <c r="FP81" s="22"/>
      <c r="FQ81" s="22"/>
      <c r="FR81" s="22"/>
      <c r="FS81" s="22"/>
      <c r="FT81" s="22"/>
      <c r="FU81" s="22"/>
      <c r="FV81" s="22"/>
      <c r="FW81" s="22"/>
      <c r="FX81" s="22"/>
      <c r="FY81" s="22"/>
      <c r="FZ81" s="22"/>
      <c r="GA81" s="22"/>
      <c r="GB81" s="22"/>
      <c r="GC81" s="22"/>
      <c r="GD81" s="22"/>
      <c r="GE81" s="22"/>
      <c r="GF81" s="22"/>
      <c r="GG81" s="22"/>
      <c r="GH81" s="22"/>
      <c r="GI81" s="22"/>
      <c r="GJ81" s="22"/>
      <c r="GK81" s="22"/>
      <c r="GL81" s="22"/>
      <c r="GM81" s="22"/>
      <c r="GN81" s="22"/>
      <c r="GO81" s="22"/>
      <c r="GP81" s="22"/>
      <c r="GQ81" s="22"/>
      <c r="GR81" s="22"/>
      <c r="GS81" s="22"/>
      <c r="GT81" s="22"/>
      <c r="GU81" s="22"/>
      <c r="GV81" s="22"/>
      <c r="GW81" s="22"/>
      <c r="GX81" s="22"/>
      <c r="GY81" s="22"/>
      <c r="GZ81" s="22"/>
      <c r="HA81" s="22"/>
      <c r="HB81" s="22"/>
      <c r="HC81" s="22"/>
      <c r="HD81" s="22"/>
      <c r="HE81" s="22"/>
      <c r="HF81" s="22"/>
      <c r="HG81" s="22"/>
      <c r="HH81" s="22"/>
      <c r="HI81" s="22"/>
      <c r="HJ81" s="22"/>
      <c r="HK81" s="22"/>
      <c r="HL81" s="22"/>
      <c r="HM81" s="22"/>
      <c r="HN81" s="22"/>
      <c r="HO81" s="22"/>
      <c r="HP81" s="22"/>
      <c r="HQ81" s="22"/>
      <c r="HR81" s="22"/>
      <c r="HS81" s="22"/>
      <c r="HT81" s="22"/>
      <c r="HU81" s="22"/>
      <c r="HV81" s="22"/>
      <c r="HW81" s="22"/>
      <c r="HX81" s="22"/>
      <c r="HY81" s="22"/>
      <c r="HZ81" s="22"/>
      <c r="IA81" s="22"/>
      <c r="IB81" s="22"/>
      <c r="IC81" s="22"/>
      <c r="ID81" s="22"/>
      <c r="IE81" s="22"/>
      <c r="IF81" s="22"/>
      <c r="IG81" s="22"/>
      <c r="IH81" s="22"/>
      <c r="II81" s="22"/>
      <c r="IJ81" s="22"/>
      <c r="IK81" s="22"/>
      <c r="IL81" s="22"/>
      <c r="IM81" s="22"/>
      <c r="IN81" s="22"/>
      <c r="IO81" s="22"/>
      <c r="IP81" s="22"/>
      <c r="IQ81" s="22"/>
      <c r="IR81" s="22"/>
      <c r="IS81" s="22"/>
      <c r="IT81" s="22"/>
      <c r="IU81" s="22"/>
      <c r="IV81" s="22"/>
      <c r="IW81" s="22"/>
      <c r="IX81" s="22"/>
      <c r="IY81" s="22"/>
      <c r="IZ81" s="22"/>
      <c r="JA81" s="22"/>
      <c r="JB81" s="22"/>
      <c r="JC81" s="22"/>
      <c r="JD81" s="22"/>
      <c r="JE81" s="22"/>
      <c r="JJ81" s="22"/>
      <c r="JK81" s="22"/>
      <c r="JL81" s="22"/>
      <c r="JM81" s="22"/>
      <c r="JN81" s="22"/>
      <c r="JO81" s="22"/>
      <c r="JP81" s="22"/>
      <c r="JQ81" s="22"/>
      <c r="JR81" s="22"/>
      <c r="JS81" s="22"/>
      <c r="JT81" s="22"/>
      <c r="JU81" s="22"/>
      <c r="JV81" s="22"/>
      <c r="JW81" s="22"/>
      <c r="JX81" s="22"/>
      <c r="JY81" s="22"/>
      <c r="JZ81" s="22"/>
      <c r="KA81" s="22"/>
      <c r="KB81" s="22"/>
      <c r="KC81" s="22"/>
      <c r="KD81" s="22"/>
      <c r="KE81" s="22"/>
      <c r="KF81" s="22"/>
      <c r="KG81" s="22"/>
      <c r="KH81" s="22"/>
      <c r="KI81" s="22"/>
      <c r="KJ81" s="22"/>
      <c r="KK81" s="22"/>
      <c r="KL81" s="22"/>
      <c r="KM81" s="22"/>
      <c r="KN81" s="22"/>
      <c r="KO81" s="22"/>
      <c r="KP81" s="22"/>
      <c r="KQ81" s="22"/>
      <c r="KR81" s="22"/>
      <c r="KS81" s="22"/>
      <c r="KT81" s="22"/>
      <c r="KU81" s="22"/>
      <c r="KV81" s="22"/>
      <c r="KW81" s="22"/>
      <c r="KX81" s="22"/>
      <c r="KY81" s="22"/>
      <c r="KZ81" s="22"/>
      <c r="LA81" s="22"/>
      <c r="LB81" s="22"/>
      <c r="LC81" s="22"/>
      <c r="LD81" s="22"/>
      <c r="LE81" s="22"/>
      <c r="LF81" s="22"/>
      <c r="LG81" s="22"/>
      <c r="LH81" s="22"/>
      <c r="LI81" s="22"/>
      <c r="LJ81" s="22"/>
      <c r="LK81" s="22"/>
      <c r="LL81" s="22"/>
      <c r="LM81" s="22"/>
      <c r="LN81" s="22"/>
      <c r="LO81" s="22"/>
      <c r="LP81" s="22"/>
      <c r="LQ81" s="22"/>
      <c r="LR81" s="22"/>
      <c r="LS81" s="22"/>
      <c r="LT81" s="22"/>
      <c r="LU81" s="22"/>
      <c r="LV81" s="22"/>
      <c r="LW81" s="22"/>
      <c r="LX81" s="22"/>
      <c r="LY81" s="22"/>
      <c r="LZ81" s="22"/>
      <c r="MA81" s="22"/>
      <c r="MB81" s="22"/>
      <c r="MC81" s="22"/>
      <c r="MD81" s="22"/>
      <c r="ME81" s="22"/>
      <c r="MF81" s="22"/>
      <c r="MG81" s="22"/>
      <c r="MH81" s="22"/>
      <c r="MI81" s="22"/>
      <c r="MJ81" s="22"/>
      <c r="MK81" s="22"/>
      <c r="ML81" s="22"/>
      <c r="MM81" s="22"/>
      <c r="MN81" s="22"/>
      <c r="MO81" s="22"/>
      <c r="MP81" s="22"/>
      <c r="MQ81" s="22"/>
      <c r="MR81" s="22"/>
      <c r="MS81" s="22"/>
      <c r="MT81" s="22"/>
      <c r="MU81" s="22"/>
      <c r="MV81" s="22"/>
      <c r="MW81" s="22"/>
      <c r="MX81" s="22"/>
      <c r="MY81" s="22"/>
      <c r="MZ81" s="22"/>
      <c r="NA81" s="22"/>
      <c r="NB81" s="22"/>
      <c r="NC81" s="22"/>
      <c r="ND81" s="22"/>
      <c r="NE81" s="22"/>
      <c r="NF81" s="22"/>
      <c r="NG81" s="22"/>
      <c r="NH81" s="22"/>
      <c r="NI81" s="22"/>
      <c r="NJ81" s="22"/>
      <c r="NK81" s="22"/>
      <c r="NL81" s="22"/>
      <c r="NM81" s="22"/>
      <c r="NN81" s="22"/>
      <c r="NO81" s="22"/>
      <c r="NP81" s="22"/>
      <c r="NQ81" s="22"/>
      <c r="NR81" s="22"/>
      <c r="NS81" s="22"/>
      <c r="NT81" s="22"/>
      <c r="NU81" s="22"/>
      <c r="NV81" s="22"/>
      <c r="NW81" s="22"/>
      <c r="NX81" s="22"/>
      <c r="NY81" s="22"/>
      <c r="NZ81" s="22"/>
      <c r="OA81" s="22"/>
      <c r="OB81" s="22"/>
      <c r="OC81" s="22"/>
      <c r="OD81" s="22"/>
      <c r="OE81" s="22"/>
      <c r="OF81" s="22"/>
      <c r="OG81" s="22"/>
      <c r="OH81" s="22"/>
      <c r="OI81" s="22"/>
      <c r="OJ81" s="22"/>
      <c r="OK81" s="22"/>
      <c r="OL81" s="22"/>
      <c r="OM81" s="22"/>
      <c r="ON81" s="22"/>
      <c r="OO81" s="22"/>
      <c r="OP81" s="22"/>
      <c r="OQ81" s="22"/>
      <c r="OR81" s="22"/>
      <c r="OS81" s="22"/>
      <c r="OT81" s="22"/>
      <c r="OU81" s="22"/>
      <c r="OV81" s="22"/>
      <c r="OW81" s="22"/>
      <c r="OX81" s="22"/>
      <c r="OY81" s="22"/>
      <c r="OZ81" s="22"/>
      <c r="PA81" s="22"/>
      <c r="PB81" s="22"/>
      <c r="PC81" s="22"/>
      <c r="PD81" s="22"/>
      <c r="PE81" s="22"/>
      <c r="PF81" s="22"/>
      <c r="PG81" s="22"/>
      <c r="PH81" s="22"/>
      <c r="PI81" s="22"/>
      <c r="PJ81" s="22"/>
      <c r="PK81" s="22"/>
      <c r="PL81" s="22"/>
      <c r="PM81" s="22"/>
      <c r="PN81" s="22"/>
      <c r="PO81" s="22"/>
      <c r="PP81" s="22"/>
      <c r="PQ81" s="22"/>
      <c r="PR81" s="22"/>
      <c r="PS81" s="22"/>
      <c r="PT81" s="22"/>
      <c r="PU81" s="22"/>
      <c r="PV81" s="22"/>
      <c r="PW81" s="22"/>
      <c r="PX81" s="22"/>
      <c r="PY81" s="22"/>
      <c r="PZ81" s="22"/>
      <c r="QA81" s="22"/>
      <c r="QB81" s="22"/>
      <c r="QC81" s="22"/>
      <c r="QD81" s="22"/>
      <c r="QE81" s="22"/>
      <c r="QF81" s="22"/>
      <c r="QG81" s="22"/>
      <c r="QH81" s="22"/>
      <c r="QI81" s="22"/>
      <c r="QJ81" s="22"/>
      <c r="QK81" s="22"/>
      <c r="QL81" s="22"/>
      <c r="QM81" s="22"/>
      <c r="QN81" s="22"/>
      <c r="QO81" s="22"/>
      <c r="QP81" s="22"/>
      <c r="QQ81" s="22"/>
      <c r="QR81" s="22"/>
      <c r="QS81" s="22"/>
      <c r="QT81" s="22"/>
      <c r="QU81" s="22"/>
      <c r="QV81" s="22"/>
      <c r="QW81" s="22"/>
      <c r="QX81" s="22"/>
      <c r="QY81" s="22"/>
      <c r="QZ81" s="22"/>
      <c r="RA81" s="22"/>
      <c r="RB81" s="22"/>
      <c r="RC81" s="22"/>
      <c r="RD81" s="22"/>
      <c r="RE81" s="22"/>
      <c r="RF81" s="22"/>
      <c r="RG81" s="22"/>
      <c r="RH81" s="22"/>
      <c r="RI81" s="22"/>
      <c r="RJ81" s="22"/>
      <c r="RK81" s="22"/>
      <c r="RL81" s="22"/>
      <c r="RM81" s="22"/>
      <c r="RN81" s="22"/>
      <c r="RO81" s="22"/>
      <c r="RP81" s="22"/>
      <c r="RQ81" s="22"/>
      <c r="RR81" s="22"/>
      <c r="RS81" s="22"/>
      <c r="RT81" s="22"/>
      <c r="RU81" s="22"/>
      <c r="RV81" s="22"/>
      <c r="RW81" s="22"/>
      <c r="RX81" s="22"/>
      <c r="RY81" s="22"/>
      <c r="RZ81" s="22"/>
      <c r="SA81" s="22"/>
      <c r="SB81" s="22"/>
      <c r="SC81" s="22"/>
      <c r="SD81" s="22"/>
      <c r="SE81" s="22"/>
      <c r="SF81" s="22"/>
      <c r="SG81" s="22"/>
      <c r="SH81" s="22"/>
      <c r="SI81" s="22"/>
      <c r="SJ81" s="22"/>
      <c r="SK81" s="22"/>
      <c r="SL81" s="22"/>
      <c r="SM81" s="22"/>
      <c r="SN81" s="22"/>
      <c r="SO81" s="22"/>
      <c r="SP81" s="22"/>
      <c r="SQ81" s="22"/>
      <c r="SR81" s="22"/>
      <c r="SS81" s="22"/>
      <c r="ST81" s="22"/>
      <c r="SU81" s="22"/>
      <c r="SV81" s="22"/>
      <c r="SW81" s="22"/>
      <c r="SX81" s="22"/>
      <c r="SY81" s="22"/>
      <c r="SZ81" s="22"/>
      <c r="TA81" s="22"/>
      <c r="TB81" s="22"/>
      <c r="TC81" s="22"/>
      <c r="TD81" s="22"/>
      <c r="TE81" s="22"/>
      <c r="TF81" s="22"/>
      <c r="TG81" s="22"/>
      <c r="TH81" s="22"/>
      <c r="TI81" s="22"/>
      <c r="TJ81" s="22"/>
      <c r="TK81" s="22"/>
      <c r="TL81" s="22"/>
      <c r="TM81" s="22"/>
      <c r="TN81" s="22"/>
      <c r="TO81" s="22"/>
      <c r="TP81" s="22"/>
      <c r="TQ81" s="22"/>
      <c r="TR81" s="22"/>
      <c r="TS81" s="22"/>
      <c r="TT81" s="22"/>
      <c r="TU81" s="22"/>
      <c r="TV81" s="22"/>
      <c r="TW81" s="22"/>
      <c r="TX81" s="22"/>
      <c r="TY81" s="22"/>
      <c r="TZ81" s="22"/>
      <c r="UA81" s="22"/>
      <c r="UB81" s="22"/>
      <c r="UC81" s="22"/>
      <c r="UD81" s="22"/>
      <c r="UE81" s="22"/>
      <c r="UF81" s="22"/>
      <c r="UG81" s="22"/>
      <c r="UH81" s="22"/>
      <c r="UI81" s="22"/>
      <c r="UJ81" s="22"/>
      <c r="UK81" s="22"/>
      <c r="UL81" s="22"/>
      <c r="UM81" s="22"/>
      <c r="UN81" s="22"/>
      <c r="UO81" s="22"/>
      <c r="UP81" s="22"/>
      <c r="UQ81" s="22"/>
      <c r="UR81" s="22"/>
      <c r="US81" s="22"/>
      <c r="UT81" s="22"/>
      <c r="UU81" s="22"/>
      <c r="UV81" s="22"/>
      <c r="UW81" s="22"/>
      <c r="UX81" s="22"/>
      <c r="UY81" s="22"/>
      <c r="UZ81" s="22"/>
      <c r="VA81" s="22"/>
      <c r="VB81" s="22"/>
      <c r="VC81" s="22"/>
      <c r="VD81" s="22"/>
      <c r="VE81" s="22"/>
      <c r="VF81" s="22"/>
      <c r="VG81" s="22"/>
      <c r="VH81" s="22"/>
      <c r="VI81" s="22"/>
      <c r="VJ81" s="22"/>
      <c r="VK81" s="22"/>
      <c r="VL81" s="22"/>
      <c r="VM81" s="22"/>
      <c r="VN81" s="22"/>
      <c r="VO81" s="22"/>
      <c r="VP81" s="22"/>
      <c r="VQ81" s="22"/>
      <c r="VR81" s="22"/>
      <c r="VS81" s="22"/>
      <c r="VT81" s="22"/>
      <c r="VU81" s="22"/>
      <c r="VV81" s="22"/>
      <c r="VW81" s="22"/>
      <c r="VX81" s="22"/>
      <c r="VY81" s="22"/>
      <c r="VZ81" s="22"/>
      <c r="WA81" s="22"/>
      <c r="WB81" s="22"/>
      <c r="WC81" s="22"/>
      <c r="WD81" s="22"/>
      <c r="WE81" s="22"/>
      <c r="WF81" s="22"/>
      <c r="WG81" s="22"/>
      <c r="WH81" s="22"/>
      <c r="WI81" s="22"/>
      <c r="WJ81" s="22"/>
      <c r="WK81" s="22"/>
      <c r="WL81" s="22"/>
      <c r="WM81" s="22"/>
      <c r="WN81" s="22"/>
      <c r="WO81" s="22"/>
      <c r="WP81" s="22"/>
      <c r="WQ81" s="22"/>
      <c r="WR81" s="22"/>
      <c r="WS81" s="22"/>
      <c r="WT81" s="22"/>
      <c r="WU81" s="22"/>
      <c r="WV81" s="22"/>
      <c r="WW81" s="22"/>
      <c r="WX81" s="22"/>
      <c r="WY81" s="22"/>
      <c r="WZ81" s="22"/>
      <c r="XA81" s="22"/>
      <c r="XB81" s="22"/>
      <c r="XC81" s="22"/>
      <c r="XD81" s="22"/>
      <c r="XE81" s="22"/>
      <c r="XF81" s="22"/>
      <c r="XG81" s="22"/>
      <c r="XH81" s="22"/>
      <c r="XI81" s="22"/>
      <c r="XJ81" s="22"/>
      <c r="XK81" s="22"/>
      <c r="XL81" s="22"/>
      <c r="XM81" s="22"/>
      <c r="XN81" s="22"/>
      <c r="XO81" s="22"/>
      <c r="XP81" s="22"/>
      <c r="XQ81" s="22"/>
      <c r="XR81" s="22"/>
      <c r="XS81" s="22"/>
      <c r="XT81" s="22"/>
      <c r="XU81" s="22"/>
      <c r="XV81" s="22"/>
      <c r="XW81" s="22"/>
      <c r="XX81" s="22"/>
      <c r="XY81" s="22"/>
      <c r="XZ81" s="22"/>
      <c r="YA81" s="22"/>
      <c r="YB81" s="22"/>
      <c r="YC81" s="22"/>
      <c r="YD81" s="22"/>
      <c r="YE81" s="22"/>
      <c r="YF81" s="22"/>
      <c r="YG81" s="22"/>
      <c r="YH81" s="22"/>
      <c r="YI81" s="22"/>
      <c r="YJ81" s="22"/>
      <c r="YK81" s="22"/>
      <c r="YL81" s="22"/>
      <c r="YM81" s="22"/>
      <c r="YN81" s="22"/>
      <c r="YO81" s="22"/>
      <c r="YP81" s="22"/>
      <c r="YQ81" s="22"/>
      <c r="YR81" s="22"/>
      <c r="YS81" s="22"/>
      <c r="YT81" s="22"/>
      <c r="YU81" s="22"/>
      <c r="YV81" s="22"/>
      <c r="YW81" s="22"/>
      <c r="YX81" s="22"/>
      <c r="YY81" s="22"/>
      <c r="YZ81" s="22"/>
      <c r="ZA81" s="22"/>
      <c r="ZB81" s="22"/>
      <c r="ZC81" s="22"/>
      <c r="ZD81" s="22"/>
      <c r="ZE81" s="22"/>
      <c r="ZF81" s="22"/>
      <c r="ZG81" s="22"/>
      <c r="ZH81" s="22"/>
      <c r="ZI81" s="22"/>
      <c r="ZJ81" s="22"/>
      <c r="ZK81" s="22"/>
      <c r="ZL81" s="22"/>
      <c r="ZM81" s="22"/>
      <c r="ZN81" s="22"/>
      <c r="ZO81" s="22"/>
      <c r="ZP81" s="22"/>
      <c r="ZQ81" s="22"/>
      <c r="ZR81" s="22"/>
      <c r="ZS81" s="22"/>
      <c r="ZT81" s="22"/>
      <c r="ZU81" s="22"/>
      <c r="ZV81" s="22"/>
      <c r="ZW81" s="22"/>
      <c r="ZX81" s="22"/>
      <c r="ZY81" s="22"/>
      <c r="ZZ81" s="22"/>
      <c r="AAA81" s="22"/>
      <c r="AAB81" s="22"/>
      <c r="AAC81" s="22"/>
      <c r="AAD81" s="22"/>
      <c r="AAE81" s="22"/>
      <c r="AAF81" s="22"/>
      <c r="AAG81" s="22"/>
      <c r="AAH81" s="22"/>
      <c r="AAI81" s="22"/>
      <c r="AAJ81" s="22"/>
      <c r="AAK81" s="22"/>
      <c r="AAL81" s="22"/>
      <c r="AAM81" s="22"/>
      <c r="AAN81" s="22"/>
      <c r="AAO81" s="22"/>
      <c r="AAP81" s="22"/>
      <c r="AAQ81" s="22"/>
      <c r="AAR81" s="22"/>
      <c r="AAS81" s="22"/>
      <c r="AAT81" s="22"/>
      <c r="AAU81" s="22"/>
      <c r="AAV81" s="22"/>
      <c r="AAW81" s="22"/>
      <c r="AAX81" s="22"/>
      <c r="AAY81" s="22"/>
      <c r="AAZ81" s="22"/>
      <c r="ABA81" s="22"/>
      <c r="ABB81" s="22"/>
      <c r="ABC81" s="22"/>
    </row>
    <row r="82" spans="4:731" ht="15" customHeight="1" x14ac:dyDescent="0.3">
      <c r="AA82" s="98"/>
      <c r="AQ82" s="22"/>
      <c r="AR82" s="43"/>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c r="FC82" s="22"/>
      <c r="FD82" s="22"/>
      <c r="FE82" s="22"/>
      <c r="FF82" s="22"/>
      <c r="FG82" s="22"/>
      <c r="FH82" s="22"/>
      <c r="FI82" s="22"/>
      <c r="FJ82" s="22"/>
      <c r="FK82" s="22"/>
      <c r="FL82" s="22"/>
      <c r="FM82" s="22"/>
      <c r="FN82" s="22"/>
      <c r="FO82" s="22"/>
      <c r="FP82" s="22"/>
      <c r="FQ82" s="22"/>
      <c r="FR82" s="22"/>
      <c r="FS82" s="22"/>
      <c r="FT82" s="22"/>
      <c r="FU82" s="22"/>
      <c r="FV82" s="22"/>
      <c r="FW82" s="22"/>
      <c r="FX82" s="22"/>
      <c r="FY82" s="22"/>
      <c r="FZ82" s="22"/>
      <c r="GA82" s="22"/>
      <c r="GB82" s="22"/>
      <c r="GC82" s="22"/>
      <c r="GD82" s="22"/>
      <c r="GE82" s="22"/>
      <c r="GF82" s="22"/>
      <c r="GG82" s="22"/>
      <c r="GH82" s="22"/>
      <c r="GI82" s="22"/>
      <c r="GJ82" s="22"/>
      <c r="GK82" s="22"/>
      <c r="GL82" s="22"/>
      <c r="GM82" s="22"/>
      <c r="GN82" s="22"/>
      <c r="GO82" s="22"/>
      <c r="GP82" s="22"/>
      <c r="GQ82" s="22"/>
      <c r="GR82" s="22"/>
      <c r="GS82" s="22"/>
      <c r="GT82" s="22"/>
      <c r="GU82" s="22"/>
      <c r="GV82" s="22"/>
      <c r="GW82" s="22"/>
      <c r="GX82" s="22"/>
      <c r="GY82" s="22"/>
      <c r="GZ82" s="22"/>
      <c r="HA82" s="22"/>
      <c r="HB82" s="22"/>
      <c r="HC82" s="22"/>
      <c r="HD82" s="22"/>
      <c r="HE82" s="22"/>
      <c r="HF82" s="22"/>
      <c r="HG82" s="22"/>
      <c r="HH82" s="22"/>
      <c r="HI82" s="22"/>
      <c r="HJ82" s="22"/>
      <c r="HK82" s="22"/>
      <c r="HL82" s="22"/>
      <c r="HM82" s="22"/>
      <c r="HN82" s="22"/>
      <c r="HO82" s="22"/>
      <c r="HP82" s="22"/>
      <c r="HQ82" s="22"/>
      <c r="HR82" s="22"/>
      <c r="HS82" s="22"/>
      <c r="HT82" s="22"/>
      <c r="HU82" s="22"/>
      <c r="HV82" s="22"/>
      <c r="HW82" s="22"/>
      <c r="HX82" s="22"/>
      <c r="HY82" s="22"/>
      <c r="HZ82" s="22"/>
      <c r="IA82" s="22"/>
      <c r="IB82" s="22"/>
      <c r="IC82" s="22"/>
      <c r="ID82" s="22"/>
      <c r="IE82" s="22"/>
      <c r="IF82" s="22"/>
      <c r="IG82" s="22"/>
      <c r="IH82" s="22"/>
      <c r="II82" s="22"/>
      <c r="IJ82" s="22"/>
      <c r="IK82" s="22"/>
      <c r="IL82" s="22"/>
      <c r="IM82" s="22"/>
      <c r="IN82" s="22"/>
      <c r="IO82" s="22"/>
      <c r="IP82" s="22"/>
      <c r="IQ82" s="22"/>
      <c r="IR82" s="22"/>
      <c r="IS82" s="22"/>
      <c r="IT82" s="22"/>
      <c r="IU82" s="22"/>
      <c r="IV82" s="22"/>
      <c r="IW82" s="22"/>
      <c r="IX82" s="22"/>
      <c r="IY82" s="22"/>
      <c r="IZ82" s="22"/>
      <c r="JA82" s="22"/>
      <c r="JB82" s="22"/>
      <c r="JC82" s="22"/>
      <c r="JD82" s="22"/>
      <c r="JE82" s="22"/>
      <c r="JJ82" s="22"/>
      <c r="JK82" s="22"/>
      <c r="JL82" s="22"/>
      <c r="JM82" s="22"/>
      <c r="JN82" s="22"/>
      <c r="JO82" s="22"/>
      <c r="JP82" s="22"/>
      <c r="JQ82" s="22"/>
      <c r="JR82" s="22"/>
      <c r="JS82" s="22"/>
      <c r="JT82" s="22"/>
      <c r="JU82" s="22"/>
      <c r="JV82" s="22"/>
      <c r="JW82" s="22"/>
      <c r="JX82" s="22"/>
      <c r="JY82" s="22"/>
      <c r="JZ82" s="22"/>
      <c r="KA82" s="22"/>
      <c r="KB82" s="22"/>
      <c r="KC82" s="22"/>
      <c r="KD82" s="22"/>
      <c r="KE82" s="22"/>
      <c r="KF82" s="22"/>
      <c r="KG82" s="22"/>
      <c r="KH82" s="22"/>
      <c r="KI82" s="22"/>
      <c r="KJ82" s="22"/>
      <c r="KK82" s="22"/>
      <c r="KL82" s="22"/>
      <c r="KM82" s="22"/>
      <c r="KN82" s="22"/>
      <c r="KO82" s="22"/>
      <c r="KP82" s="22"/>
      <c r="KQ82" s="22"/>
      <c r="KR82" s="22"/>
      <c r="KS82" s="22"/>
      <c r="KT82" s="22"/>
      <c r="KU82" s="22"/>
      <c r="KV82" s="22"/>
      <c r="KW82" s="22"/>
      <c r="KX82" s="22"/>
      <c r="KY82" s="22"/>
      <c r="KZ82" s="22"/>
      <c r="LA82" s="22"/>
      <c r="LB82" s="22"/>
      <c r="LC82" s="22"/>
      <c r="LD82" s="22"/>
      <c r="LE82" s="22"/>
      <c r="LF82" s="22"/>
      <c r="LG82" s="22"/>
      <c r="LH82" s="22"/>
      <c r="LI82" s="22"/>
      <c r="LJ82" s="22"/>
      <c r="LK82" s="22"/>
      <c r="LL82" s="22"/>
      <c r="LM82" s="22"/>
      <c r="LN82" s="22"/>
      <c r="LO82" s="22"/>
      <c r="LP82" s="22"/>
      <c r="LQ82" s="22"/>
      <c r="LR82" s="22"/>
      <c r="LS82" s="22"/>
      <c r="LT82" s="22"/>
      <c r="LU82" s="22"/>
      <c r="LV82" s="22"/>
      <c r="LW82" s="22"/>
      <c r="LX82" s="22"/>
      <c r="LY82" s="22"/>
      <c r="LZ82" s="22"/>
      <c r="MA82" s="22"/>
      <c r="MB82" s="22"/>
      <c r="MC82" s="22"/>
      <c r="MD82" s="22"/>
      <c r="ME82" s="22"/>
      <c r="MF82" s="22"/>
      <c r="MG82" s="22"/>
      <c r="MH82" s="22"/>
      <c r="MI82" s="22"/>
      <c r="MJ82" s="22"/>
      <c r="MK82" s="22"/>
      <c r="ML82" s="22"/>
      <c r="MM82" s="22"/>
      <c r="MN82" s="22"/>
      <c r="MO82" s="22"/>
      <c r="MP82" s="22"/>
      <c r="MQ82" s="22"/>
      <c r="MR82" s="22"/>
      <c r="MS82" s="22"/>
      <c r="MT82" s="22"/>
      <c r="MU82" s="22"/>
      <c r="MV82" s="22"/>
      <c r="MW82" s="22"/>
      <c r="MX82" s="22"/>
      <c r="MY82" s="22"/>
      <c r="MZ82" s="22"/>
      <c r="NA82" s="22"/>
      <c r="NB82" s="22"/>
      <c r="NC82" s="22"/>
      <c r="ND82" s="22"/>
      <c r="NE82" s="22"/>
      <c r="NF82" s="22"/>
      <c r="NG82" s="22"/>
      <c r="NH82" s="22"/>
      <c r="NI82" s="22"/>
      <c r="NJ82" s="22"/>
      <c r="NK82" s="22"/>
      <c r="NL82" s="22"/>
      <c r="NM82" s="22"/>
      <c r="NN82" s="22"/>
      <c r="NO82" s="22"/>
      <c r="NP82" s="22"/>
      <c r="NQ82" s="22"/>
      <c r="NR82" s="22"/>
      <c r="NS82" s="22"/>
      <c r="NT82" s="22"/>
      <c r="NU82" s="22"/>
      <c r="NV82" s="22"/>
      <c r="NW82" s="22"/>
      <c r="NX82" s="22"/>
      <c r="NY82" s="22"/>
      <c r="NZ82" s="22"/>
      <c r="OA82" s="22"/>
      <c r="OB82" s="22"/>
      <c r="OC82" s="22"/>
      <c r="OD82" s="22"/>
      <c r="OE82" s="22"/>
      <c r="OF82" s="22"/>
      <c r="OG82" s="22"/>
      <c r="OH82" s="22"/>
      <c r="OI82" s="22"/>
      <c r="OJ82" s="22"/>
      <c r="OK82" s="22"/>
      <c r="OL82" s="22"/>
      <c r="OM82" s="22"/>
      <c r="ON82" s="22"/>
      <c r="OO82" s="22"/>
      <c r="OP82" s="22"/>
      <c r="OQ82" s="22"/>
      <c r="OR82" s="22"/>
      <c r="OS82" s="22"/>
      <c r="OT82" s="22"/>
      <c r="OU82" s="22"/>
      <c r="OV82" s="22"/>
      <c r="OW82" s="22"/>
      <c r="OX82" s="22"/>
      <c r="OY82" s="22"/>
      <c r="OZ82" s="22"/>
      <c r="PA82" s="22"/>
      <c r="PB82" s="22"/>
      <c r="PC82" s="22"/>
      <c r="PD82" s="22"/>
      <c r="PE82" s="22"/>
      <c r="PF82" s="22"/>
      <c r="PG82" s="22"/>
      <c r="PH82" s="22"/>
      <c r="PI82" s="22"/>
      <c r="PJ82" s="22"/>
      <c r="PK82" s="22"/>
      <c r="PL82" s="22"/>
      <c r="PM82" s="22"/>
      <c r="PN82" s="22"/>
      <c r="PO82" s="22"/>
      <c r="PP82" s="22"/>
      <c r="PQ82" s="22"/>
      <c r="PR82" s="22"/>
      <c r="PS82" s="22"/>
      <c r="PT82" s="22"/>
      <c r="PU82" s="22"/>
      <c r="PV82" s="22"/>
      <c r="PW82" s="22"/>
      <c r="PX82" s="22"/>
      <c r="PY82" s="22"/>
      <c r="PZ82" s="22"/>
      <c r="QA82" s="22"/>
      <c r="QB82" s="22"/>
      <c r="QC82" s="22"/>
      <c r="QD82" s="22"/>
      <c r="QE82" s="22"/>
      <c r="QF82" s="22"/>
      <c r="QG82" s="22"/>
      <c r="QH82" s="22"/>
      <c r="QI82" s="22"/>
      <c r="QJ82" s="22"/>
      <c r="QK82" s="22"/>
      <c r="QL82" s="22"/>
      <c r="QM82" s="22"/>
      <c r="QN82" s="22"/>
      <c r="QO82" s="22"/>
      <c r="QP82" s="22"/>
      <c r="QQ82" s="22"/>
      <c r="QR82" s="22"/>
      <c r="QS82" s="22"/>
      <c r="QT82" s="22"/>
      <c r="QU82" s="22"/>
      <c r="QV82" s="22"/>
      <c r="QW82" s="22"/>
      <c r="QX82" s="22"/>
      <c r="QY82" s="22"/>
      <c r="QZ82" s="22"/>
      <c r="RA82" s="22"/>
      <c r="RB82" s="22"/>
      <c r="RC82" s="22"/>
      <c r="RD82" s="22"/>
      <c r="RE82" s="22"/>
      <c r="RF82" s="22"/>
      <c r="RG82" s="22"/>
      <c r="RH82" s="22"/>
      <c r="RI82" s="22"/>
      <c r="RJ82" s="22"/>
      <c r="RK82" s="22"/>
      <c r="RL82" s="22"/>
      <c r="RM82" s="22"/>
      <c r="RN82" s="22"/>
      <c r="RO82" s="22"/>
      <c r="RP82" s="22"/>
      <c r="RQ82" s="22"/>
      <c r="RR82" s="22"/>
      <c r="RS82" s="22"/>
      <c r="RT82" s="22"/>
      <c r="RU82" s="22"/>
      <c r="RV82" s="22"/>
      <c r="RW82" s="22"/>
      <c r="RX82" s="22"/>
      <c r="RY82" s="22"/>
      <c r="RZ82" s="22"/>
      <c r="SA82" s="22"/>
      <c r="SB82" s="22"/>
      <c r="SC82" s="22"/>
      <c r="SD82" s="22"/>
      <c r="SE82" s="22"/>
      <c r="SF82" s="22"/>
      <c r="SG82" s="22"/>
      <c r="SH82" s="22"/>
      <c r="SI82" s="22"/>
      <c r="SJ82" s="22"/>
      <c r="SK82" s="22"/>
      <c r="SL82" s="22"/>
      <c r="SM82" s="22"/>
      <c r="SN82" s="22"/>
      <c r="SO82" s="22"/>
      <c r="SP82" s="22"/>
      <c r="SQ82" s="22"/>
      <c r="SR82" s="22"/>
      <c r="SS82" s="22"/>
      <c r="ST82" s="22"/>
      <c r="SU82" s="22"/>
      <c r="SV82" s="22"/>
      <c r="SW82" s="22"/>
      <c r="SX82" s="22"/>
      <c r="SY82" s="22"/>
      <c r="SZ82" s="22"/>
      <c r="TA82" s="22"/>
      <c r="TB82" s="22"/>
      <c r="TC82" s="22"/>
      <c r="TD82" s="22"/>
      <c r="TE82" s="22"/>
      <c r="TF82" s="22"/>
      <c r="TG82" s="22"/>
      <c r="TH82" s="22"/>
      <c r="TI82" s="22"/>
      <c r="TJ82" s="22"/>
      <c r="TK82" s="22"/>
      <c r="TL82" s="22"/>
      <c r="TM82" s="22"/>
      <c r="TN82" s="22"/>
      <c r="TO82" s="22"/>
      <c r="TP82" s="22"/>
      <c r="TQ82" s="22"/>
      <c r="TR82" s="22"/>
      <c r="TS82" s="22"/>
      <c r="TT82" s="22"/>
      <c r="TU82" s="22"/>
      <c r="TV82" s="22"/>
      <c r="TW82" s="22"/>
      <c r="TX82" s="22"/>
      <c r="TY82" s="22"/>
      <c r="TZ82" s="22"/>
      <c r="UA82" s="22"/>
      <c r="UB82" s="22"/>
      <c r="UC82" s="22"/>
      <c r="UD82" s="22"/>
      <c r="UE82" s="22"/>
      <c r="UF82" s="22"/>
      <c r="UG82" s="22"/>
      <c r="UH82" s="22"/>
      <c r="UI82" s="22"/>
      <c r="UJ82" s="22"/>
      <c r="UK82" s="22"/>
      <c r="UL82" s="22"/>
      <c r="UM82" s="22"/>
      <c r="UN82" s="22"/>
      <c r="UO82" s="22"/>
      <c r="UP82" s="22"/>
      <c r="UQ82" s="22"/>
      <c r="UR82" s="22"/>
      <c r="US82" s="22"/>
      <c r="UT82" s="22"/>
      <c r="UU82" s="22"/>
      <c r="UV82" s="22"/>
      <c r="UW82" s="22"/>
      <c r="UX82" s="22"/>
      <c r="UY82" s="22"/>
      <c r="UZ82" s="22"/>
      <c r="VA82" s="22"/>
      <c r="VB82" s="22"/>
      <c r="VC82" s="22"/>
      <c r="VD82" s="22"/>
      <c r="VE82" s="22"/>
      <c r="VF82" s="22"/>
      <c r="VG82" s="22"/>
      <c r="VH82" s="22"/>
      <c r="VI82" s="22"/>
      <c r="VJ82" s="22"/>
      <c r="VK82" s="22"/>
      <c r="VL82" s="22"/>
      <c r="VM82" s="22"/>
      <c r="VN82" s="22"/>
      <c r="VO82" s="22"/>
      <c r="VP82" s="22"/>
      <c r="VQ82" s="22"/>
      <c r="VR82" s="22"/>
      <c r="VS82" s="22"/>
      <c r="VT82" s="22"/>
      <c r="VU82" s="22"/>
      <c r="VV82" s="22"/>
      <c r="VW82" s="22"/>
      <c r="VX82" s="22"/>
      <c r="VY82" s="22"/>
      <c r="VZ82" s="22"/>
      <c r="WA82" s="22"/>
      <c r="WB82" s="22"/>
      <c r="WC82" s="22"/>
      <c r="WD82" s="22"/>
      <c r="WE82" s="22"/>
      <c r="WF82" s="22"/>
      <c r="WG82" s="22"/>
      <c r="WH82" s="22"/>
      <c r="WI82" s="22"/>
      <c r="WJ82" s="22"/>
      <c r="WK82" s="22"/>
      <c r="WL82" s="22"/>
      <c r="WM82" s="22"/>
      <c r="WN82" s="22"/>
      <c r="WO82" s="22"/>
      <c r="WP82" s="22"/>
      <c r="WQ82" s="22"/>
      <c r="WR82" s="22"/>
      <c r="WS82" s="22"/>
      <c r="WT82" s="22"/>
      <c r="WU82" s="22"/>
      <c r="WV82" s="22"/>
      <c r="WW82" s="22"/>
      <c r="WX82" s="22"/>
      <c r="WY82" s="22"/>
      <c r="WZ82" s="22"/>
      <c r="XA82" s="22"/>
      <c r="XB82" s="22"/>
      <c r="XC82" s="22"/>
      <c r="XD82" s="22"/>
      <c r="XE82" s="22"/>
      <c r="XF82" s="22"/>
      <c r="XG82" s="22"/>
      <c r="XH82" s="22"/>
      <c r="XI82" s="22"/>
      <c r="XJ82" s="22"/>
      <c r="XK82" s="22"/>
      <c r="XL82" s="22"/>
      <c r="XM82" s="22"/>
      <c r="XN82" s="22"/>
      <c r="XO82" s="22"/>
      <c r="XP82" s="22"/>
      <c r="XQ82" s="22"/>
      <c r="XR82" s="22"/>
      <c r="XS82" s="22"/>
      <c r="XT82" s="22"/>
      <c r="XU82" s="22"/>
      <c r="XV82" s="22"/>
      <c r="XW82" s="22"/>
      <c r="XX82" s="22"/>
      <c r="XY82" s="22"/>
      <c r="XZ82" s="22"/>
      <c r="YA82" s="22"/>
      <c r="YB82" s="22"/>
      <c r="YC82" s="22"/>
      <c r="YD82" s="22"/>
      <c r="YE82" s="22"/>
      <c r="YF82" s="22"/>
      <c r="YG82" s="22"/>
      <c r="YH82" s="22"/>
      <c r="YI82" s="22"/>
      <c r="YJ82" s="22"/>
      <c r="YK82" s="22"/>
      <c r="YL82" s="22"/>
      <c r="YM82" s="22"/>
      <c r="YN82" s="22"/>
      <c r="YO82" s="22"/>
      <c r="YP82" s="22"/>
      <c r="YQ82" s="22"/>
      <c r="YR82" s="22"/>
      <c r="YS82" s="22"/>
      <c r="YT82" s="22"/>
      <c r="YU82" s="22"/>
      <c r="YV82" s="22"/>
      <c r="YW82" s="22"/>
      <c r="YX82" s="22"/>
      <c r="YY82" s="22"/>
      <c r="YZ82" s="22"/>
      <c r="ZA82" s="22"/>
      <c r="ZB82" s="22"/>
      <c r="ZC82" s="22"/>
      <c r="ZD82" s="22"/>
      <c r="ZE82" s="22"/>
      <c r="ZF82" s="22"/>
      <c r="ZG82" s="22"/>
      <c r="ZH82" s="22"/>
      <c r="ZI82" s="22"/>
      <c r="ZJ82" s="22"/>
      <c r="ZK82" s="22"/>
      <c r="ZL82" s="22"/>
      <c r="ZM82" s="22"/>
      <c r="ZN82" s="22"/>
      <c r="ZO82" s="22"/>
      <c r="ZP82" s="22"/>
      <c r="ZQ82" s="22"/>
      <c r="ZR82" s="22"/>
      <c r="ZS82" s="22"/>
      <c r="ZT82" s="22"/>
      <c r="ZU82" s="22"/>
      <c r="ZV82" s="22"/>
      <c r="ZW82" s="22"/>
      <c r="ZX82" s="22"/>
      <c r="ZY82" s="22"/>
      <c r="ZZ82" s="22"/>
      <c r="AAA82" s="22"/>
      <c r="AAB82" s="22"/>
      <c r="AAC82" s="22"/>
      <c r="AAD82" s="22"/>
      <c r="AAE82" s="22"/>
      <c r="AAF82" s="22"/>
      <c r="AAG82" s="22"/>
      <c r="AAH82" s="22"/>
      <c r="AAI82" s="22"/>
      <c r="AAJ82" s="22"/>
      <c r="AAK82" s="22"/>
      <c r="AAL82" s="22"/>
      <c r="AAM82" s="22"/>
      <c r="AAN82" s="22"/>
      <c r="AAO82" s="22"/>
      <c r="AAP82" s="22"/>
      <c r="AAQ82" s="22"/>
      <c r="AAR82" s="22"/>
      <c r="AAS82" s="22"/>
      <c r="AAT82" s="22"/>
      <c r="AAU82" s="22"/>
      <c r="AAV82" s="22"/>
      <c r="AAW82" s="22"/>
      <c r="AAX82" s="22"/>
      <c r="AAY82" s="22"/>
      <c r="AAZ82" s="22"/>
      <c r="ABA82" s="22"/>
      <c r="ABB82" s="22"/>
      <c r="ABC82" s="22"/>
    </row>
    <row r="83" spans="4:731" ht="15" customHeight="1" x14ac:dyDescent="0.3">
      <c r="AC83" s="99">
        <f>Z81/AA81</f>
        <v>0.3501623552995175</v>
      </c>
      <c r="AD83" s="99"/>
      <c r="AE83" s="99"/>
      <c r="AF83" s="99"/>
      <c r="AG83" s="99"/>
      <c r="AH83" s="99"/>
      <c r="AI83" s="99"/>
      <c r="AJ83" s="99"/>
      <c r="AK83" s="99"/>
      <c r="AL83" s="202"/>
      <c r="AM83" s="202"/>
      <c r="AN83" s="202"/>
      <c r="AO83" s="99">
        <f>AL81/AM81</f>
        <v>3.4623479374395603E-2</v>
      </c>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c r="FF83" s="22"/>
      <c r="FG83" s="22"/>
      <c r="FH83" s="22"/>
      <c r="FI83" s="22"/>
      <c r="FJ83" s="22"/>
      <c r="FK83" s="22"/>
      <c r="FL83" s="22"/>
      <c r="FM83" s="22"/>
      <c r="FN83" s="22"/>
      <c r="FO83" s="22"/>
      <c r="FP83" s="22"/>
      <c r="FQ83" s="22"/>
      <c r="FR83" s="22"/>
      <c r="FS83" s="22"/>
      <c r="FT83" s="22"/>
      <c r="FU83" s="22"/>
      <c r="FV83" s="22"/>
      <c r="FW83" s="22"/>
      <c r="FX83" s="22"/>
      <c r="FY83" s="22"/>
      <c r="FZ83" s="22"/>
      <c r="GA83" s="22"/>
      <c r="GB83" s="22"/>
      <c r="GC83" s="22"/>
      <c r="GD83" s="22"/>
      <c r="GE83" s="22"/>
      <c r="GF83" s="22"/>
      <c r="GG83" s="22"/>
      <c r="GH83" s="22"/>
      <c r="GI83" s="22"/>
      <c r="GJ83" s="22"/>
      <c r="GK83" s="22"/>
      <c r="GL83" s="22"/>
      <c r="GM83" s="22"/>
      <c r="GN83" s="22"/>
      <c r="GO83" s="22"/>
      <c r="GP83" s="22"/>
      <c r="GQ83" s="22"/>
      <c r="GR83" s="22"/>
      <c r="GS83" s="22"/>
      <c r="GT83" s="22"/>
      <c r="GU83" s="22"/>
      <c r="GV83" s="22"/>
      <c r="GW83" s="22"/>
      <c r="GX83" s="22"/>
      <c r="GY83" s="22"/>
      <c r="GZ83" s="22"/>
      <c r="HA83" s="22"/>
      <c r="HB83" s="22"/>
      <c r="HC83" s="22"/>
      <c r="HD83" s="22"/>
      <c r="HE83" s="22"/>
      <c r="HF83" s="22"/>
      <c r="HG83" s="22"/>
      <c r="HH83" s="22"/>
      <c r="HI83" s="22"/>
      <c r="HJ83" s="22"/>
      <c r="HK83" s="22"/>
      <c r="HL83" s="22"/>
      <c r="HM83" s="22"/>
      <c r="HN83" s="22"/>
      <c r="HO83" s="22"/>
      <c r="HP83" s="22"/>
      <c r="HQ83" s="22"/>
      <c r="HR83" s="22"/>
      <c r="HS83" s="22"/>
      <c r="HT83" s="22"/>
      <c r="HU83" s="22"/>
      <c r="HV83" s="22"/>
      <c r="HW83" s="22"/>
      <c r="HX83" s="22"/>
      <c r="HY83" s="22"/>
      <c r="HZ83" s="22"/>
      <c r="IA83" s="22"/>
      <c r="IB83" s="22"/>
      <c r="IC83" s="22"/>
      <c r="ID83" s="22"/>
      <c r="IE83" s="22"/>
      <c r="IF83" s="22"/>
      <c r="IG83" s="22"/>
      <c r="IH83" s="22"/>
      <c r="II83" s="22"/>
      <c r="IJ83" s="22"/>
      <c r="IK83" s="22"/>
      <c r="IL83" s="22"/>
      <c r="IM83" s="22"/>
      <c r="IN83" s="22"/>
      <c r="IO83" s="22"/>
      <c r="IP83" s="22"/>
      <c r="IQ83" s="22"/>
      <c r="IR83" s="22"/>
      <c r="IS83" s="22"/>
      <c r="IT83" s="22"/>
      <c r="IU83" s="22"/>
      <c r="IV83" s="22"/>
      <c r="IW83" s="22"/>
      <c r="IX83" s="22"/>
      <c r="IY83" s="22"/>
      <c r="IZ83" s="22"/>
      <c r="JA83" s="22"/>
      <c r="JB83" s="22"/>
      <c r="JC83" s="22"/>
      <c r="JD83" s="22"/>
      <c r="JE83" s="22"/>
      <c r="JJ83" s="22"/>
      <c r="JK83" s="22"/>
      <c r="JL83" s="22"/>
      <c r="JM83" s="22"/>
      <c r="JN83" s="22"/>
      <c r="JO83" s="22"/>
      <c r="JP83" s="22"/>
      <c r="JQ83" s="22"/>
      <c r="JR83" s="22"/>
      <c r="JS83" s="22"/>
      <c r="JT83" s="22"/>
      <c r="JU83" s="22"/>
      <c r="JV83" s="22"/>
      <c r="JW83" s="22"/>
      <c r="JX83" s="22"/>
      <c r="JY83" s="22"/>
      <c r="JZ83" s="22"/>
      <c r="KA83" s="22"/>
      <c r="KB83" s="22"/>
      <c r="KC83" s="22"/>
      <c r="KD83" s="22"/>
      <c r="KE83" s="22"/>
      <c r="KF83" s="22"/>
      <c r="KG83" s="22"/>
      <c r="KH83" s="22"/>
      <c r="KI83" s="22"/>
      <c r="KJ83" s="22"/>
      <c r="KK83" s="22"/>
      <c r="KL83" s="22"/>
      <c r="KM83" s="22"/>
      <c r="KN83" s="22"/>
      <c r="KO83" s="22"/>
      <c r="KP83" s="22"/>
      <c r="KQ83" s="22"/>
      <c r="KR83" s="22"/>
      <c r="KS83" s="22"/>
      <c r="KT83" s="22"/>
      <c r="KU83" s="22"/>
      <c r="KV83" s="22"/>
      <c r="KW83" s="22"/>
      <c r="KX83" s="22"/>
      <c r="KY83" s="22"/>
      <c r="KZ83" s="22"/>
      <c r="LA83" s="22"/>
      <c r="LB83" s="22"/>
      <c r="LC83" s="22"/>
      <c r="LD83" s="22"/>
      <c r="LE83" s="22"/>
      <c r="LF83" s="22"/>
      <c r="LG83" s="22"/>
      <c r="LH83" s="22"/>
      <c r="LI83" s="22"/>
      <c r="LJ83" s="22"/>
      <c r="LK83" s="22"/>
      <c r="LL83" s="22"/>
      <c r="LM83" s="22"/>
      <c r="LN83" s="22"/>
      <c r="LO83" s="22"/>
      <c r="LP83" s="22"/>
      <c r="LQ83" s="22"/>
      <c r="LR83" s="22"/>
      <c r="LS83" s="22"/>
      <c r="LT83" s="22"/>
      <c r="LU83" s="22"/>
      <c r="LV83" s="22"/>
      <c r="LW83" s="22"/>
      <c r="LX83" s="22"/>
      <c r="LY83" s="22"/>
      <c r="LZ83" s="22"/>
      <c r="MA83" s="22"/>
      <c r="MB83" s="22"/>
      <c r="MC83" s="22"/>
      <c r="MD83" s="22"/>
      <c r="ME83" s="22"/>
      <c r="MF83" s="22"/>
      <c r="MG83" s="22"/>
      <c r="MH83" s="22"/>
      <c r="MI83" s="22"/>
      <c r="MJ83" s="22"/>
      <c r="MK83" s="22"/>
      <c r="ML83" s="22"/>
      <c r="MM83" s="22"/>
      <c r="MN83" s="22"/>
      <c r="MO83" s="22"/>
      <c r="MP83" s="22"/>
      <c r="MQ83" s="22"/>
      <c r="MR83" s="22"/>
      <c r="MS83" s="22"/>
      <c r="MT83" s="22"/>
      <c r="MU83" s="22"/>
      <c r="MV83" s="22"/>
      <c r="MW83" s="22"/>
      <c r="MX83" s="22"/>
      <c r="MY83" s="22"/>
      <c r="MZ83" s="22"/>
      <c r="NA83" s="22"/>
      <c r="NB83" s="22"/>
      <c r="NC83" s="22"/>
      <c r="ND83" s="22"/>
      <c r="NE83" s="22"/>
      <c r="NF83" s="22"/>
      <c r="NG83" s="22"/>
      <c r="NH83" s="22"/>
      <c r="NI83" s="22"/>
      <c r="NJ83" s="22"/>
      <c r="NK83" s="22"/>
      <c r="NL83" s="22"/>
      <c r="NM83" s="22"/>
      <c r="NN83" s="22"/>
      <c r="NO83" s="22"/>
      <c r="NP83" s="22"/>
      <c r="NQ83" s="22"/>
      <c r="NR83" s="22"/>
      <c r="NS83" s="22"/>
      <c r="NT83" s="22"/>
      <c r="NU83" s="22"/>
      <c r="NV83" s="22"/>
      <c r="NW83" s="22"/>
      <c r="NX83" s="22"/>
      <c r="NY83" s="22"/>
      <c r="NZ83" s="22"/>
      <c r="OA83" s="22"/>
      <c r="OB83" s="22"/>
      <c r="OC83" s="22"/>
      <c r="OD83" s="22"/>
      <c r="OE83" s="22"/>
      <c r="OF83" s="22"/>
      <c r="OG83" s="22"/>
      <c r="OH83" s="22"/>
      <c r="OI83" s="22"/>
      <c r="OJ83" s="22"/>
      <c r="OK83" s="22"/>
      <c r="OL83" s="22"/>
      <c r="OM83" s="22"/>
      <c r="ON83" s="22"/>
      <c r="OO83" s="22"/>
      <c r="OP83" s="22"/>
      <c r="OQ83" s="22"/>
      <c r="OR83" s="22"/>
      <c r="OS83" s="22"/>
      <c r="OT83" s="22"/>
      <c r="OU83" s="22"/>
      <c r="OV83" s="22"/>
      <c r="OW83" s="22"/>
      <c r="OX83" s="22"/>
      <c r="OY83" s="22"/>
      <c r="OZ83" s="22"/>
      <c r="PA83" s="22"/>
      <c r="PB83" s="22"/>
      <c r="PC83" s="22"/>
      <c r="PD83" s="22"/>
      <c r="PE83" s="22"/>
      <c r="PF83" s="22"/>
      <c r="PG83" s="22"/>
      <c r="PH83" s="22"/>
      <c r="PI83" s="22"/>
      <c r="PJ83" s="22"/>
      <c r="PK83" s="22"/>
      <c r="PL83" s="22"/>
      <c r="PM83" s="22"/>
      <c r="PN83" s="22"/>
      <c r="PO83" s="22"/>
      <c r="PP83" s="22"/>
      <c r="PQ83" s="22"/>
      <c r="PR83" s="22"/>
      <c r="PS83" s="22"/>
      <c r="PT83" s="22"/>
      <c r="PU83" s="22"/>
      <c r="PV83" s="22"/>
      <c r="PW83" s="22"/>
      <c r="PX83" s="22"/>
      <c r="PY83" s="22"/>
      <c r="PZ83" s="22"/>
      <c r="QA83" s="22"/>
      <c r="QB83" s="22"/>
      <c r="QC83" s="22"/>
      <c r="QD83" s="22"/>
      <c r="QE83" s="22"/>
      <c r="QF83" s="22"/>
      <c r="QG83" s="22"/>
      <c r="QH83" s="22"/>
      <c r="QI83" s="22"/>
      <c r="QJ83" s="22"/>
      <c r="QK83" s="22"/>
      <c r="QL83" s="22"/>
      <c r="QM83" s="22"/>
      <c r="QN83" s="22"/>
      <c r="QO83" s="22"/>
      <c r="QP83" s="22"/>
      <c r="QQ83" s="22"/>
      <c r="QR83" s="22"/>
      <c r="QS83" s="22"/>
      <c r="QT83" s="22"/>
      <c r="QU83" s="22"/>
      <c r="QV83" s="22"/>
      <c r="QW83" s="22"/>
      <c r="QX83" s="22"/>
      <c r="QY83" s="22"/>
      <c r="QZ83" s="22"/>
      <c r="RA83" s="22"/>
      <c r="RB83" s="22"/>
      <c r="RC83" s="22"/>
      <c r="RD83" s="22"/>
      <c r="RE83" s="22"/>
      <c r="RF83" s="22"/>
      <c r="RG83" s="22"/>
      <c r="RH83" s="22"/>
      <c r="RI83" s="22"/>
      <c r="RJ83" s="22"/>
      <c r="RK83" s="22"/>
      <c r="RL83" s="22"/>
      <c r="RM83" s="22"/>
      <c r="RN83" s="22"/>
      <c r="RO83" s="22"/>
      <c r="RP83" s="22"/>
      <c r="RQ83" s="22"/>
      <c r="RR83" s="22"/>
      <c r="RS83" s="22"/>
      <c r="RT83" s="22"/>
      <c r="RU83" s="22"/>
      <c r="RV83" s="22"/>
      <c r="RW83" s="22"/>
      <c r="RX83" s="22"/>
      <c r="RY83" s="22"/>
      <c r="RZ83" s="22"/>
      <c r="SA83" s="22"/>
      <c r="SB83" s="22"/>
      <c r="SC83" s="22"/>
      <c r="SD83" s="22"/>
      <c r="SE83" s="22"/>
      <c r="SF83" s="22"/>
      <c r="SG83" s="22"/>
      <c r="SH83" s="22"/>
      <c r="SI83" s="22"/>
      <c r="SJ83" s="22"/>
      <c r="SK83" s="22"/>
      <c r="SL83" s="22"/>
      <c r="SM83" s="22"/>
      <c r="SN83" s="22"/>
      <c r="SO83" s="22"/>
      <c r="SP83" s="22"/>
      <c r="SQ83" s="22"/>
      <c r="SR83" s="22"/>
      <c r="SS83" s="22"/>
      <c r="ST83" s="22"/>
      <c r="SU83" s="22"/>
      <c r="SV83" s="22"/>
      <c r="SW83" s="22"/>
      <c r="SX83" s="22"/>
      <c r="SY83" s="22"/>
      <c r="SZ83" s="22"/>
      <c r="TA83" s="22"/>
      <c r="TB83" s="22"/>
      <c r="TC83" s="22"/>
      <c r="TD83" s="22"/>
      <c r="TE83" s="22"/>
      <c r="TF83" s="22"/>
      <c r="TG83" s="22"/>
      <c r="TH83" s="22"/>
      <c r="TI83" s="22"/>
      <c r="TJ83" s="22"/>
      <c r="TK83" s="22"/>
      <c r="TL83" s="22"/>
      <c r="TM83" s="22"/>
      <c r="TN83" s="22"/>
      <c r="TO83" s="22"/>
      <c r="TP83" s="22"/>
      <c r="TQ83" s="22"/>
      <c r="TR83" s="22"/>
      <c r="TS83" s="22"/>
      <c r="TT83" s="22"/>
      <c r="TU83" s="22"/>
      <c r="TV83" s="22"/>
      <c r="TW83" s="22"/>
      <c r="TX83" s="22"/>
      <c r="TY83" s="22"/>
      <c r="TZ83" s="22"/>
      <c r="UA83" s="22"/>
      <c r="UB83" s="22"/>
      <c r="UC83" s="22"/>
      <c r="UD83" s="22"/>
      <c r="UE83" s="22"/>
      <c r="UF83" s="22"/>
      <c r="UG83" s="22"/>
      <c r="UH83" s="22"/>
      <c r="UI83" s="22"/>
      <c r="UJ83" s="22"/>
      <c r="UK83" s="22"/>
      <c r="UL83" s="22"/>
      <c r="UM83" s="22"/>
      <c r="UN83" s="22"/>
      <c r="UO83" s="22"/>
      <c r="UP83" s="22"/>
      <c r="UQ83" s="22"/>
      <c r="UR83" s="22"/>
      <c r="US83" s="22"/>
      <c r="UT83" s="22"/>
      <c r="UU83" s="22"/>
      <c r="UV83" s="22"/>
      <c r="UW83" s="22"/>
      <c r="UX83" s="22"/>
      <c r="UY83" s="22"/>
      <c r="UZ83" s="22"/>
      <c r="VA83" s="22"/>
      <c r="VB83" s="22"/>
      <c r="VC83" s="22"/>
      <c r="VD83" s="22"/>
      <c r="VE83" s="22"/>
      <c r="VF83" s="22"/>
      <c r="VG83" s="22"/>
      <c r="VH83" s="22"/>
      <c r="VI83" s="22"/>
      <c r="VJ83" s="22"/>
      <c r="VK83" s="22"/>
      <c r="VL83" s="22"/>
      <c r="VM83" s="22"/>
      <c r="VN83" s="22"/>
      <c r="VO83" s="22"/>
      <c r="VP83" s="22"/>
      <c r="VQ83" s="22"/>
      <c r="VR83" s="22"/>
      <c r="VS83" s="22"/>
      <c r="VT83" s="22"/>
      <c r="VU83" s="22"/>
      <c r="VV83" s="22"/>
      <c r="VW83" s="22"/>
      <c r="VX83" s="22"/>
      <c r="VY83" s="22"/>
      <c r="VZ83" s="22"/>
      <c r="WA83" s="22"/>
      <c r="WB83" s="22"/>
      <c r="WC83" s="22"/>
      <c r="WD83" s="22"/>
      <c r="WE83" s="22"/>
      <c r="WF83" s="22"/>
      <c r="WG83" s="22"/>
      <c r="WH83" s="22"/>
      <c r="WI83" s="22"/>
      <c r="WJ83" s="22"/>
      <c r="WK83" s="22"/>
      <c r="WL83" s="22"/>
      <c r="WM83" s="22"/>
      <c r="WN83" s="22"/>
      <c r="WO83" s="22"/>
      <c r="WP83" s="22"/>
      <c r="WQ83" s="22"/>
      <c r="WR83" s="22"/>
      <c r="WS83" s="22"/>
      <c r="WT83" s="22"/>
      <c r="WU83" s="22"/>
      <c r="WV83" s="22"/>
      <c r="WW83" s="22"/>
      <c r="WX83" s="22"/>
      <c r="WY83" s="22"/>
      <c r="WZ83" s="22"/>
      <c r="XA83" s="22"/>
      <c r="XB83" s="22"/>
      <c r="XC83" s="22"/>
      <c r="XD83" s="22"/>
      <c r="XE83" s="22"/>
      <c r="XF83" s="22"/>
      <c r="XG83" s="22"/>
      <c r="XH83" s="22"/>
      <c r="XI83" s="22"/>
      <c r="XJ83" s="22"/>
      <c r="XK83" s="22"/>
      <c r="XL83" s="22"/>
      <c r="XM83" s="22"/>
      <c r="XN83" s="22"/>
      <c r="XO83" s="22"/>
      <c r="XP83" s="22"/>
      <c r="XQ83" s="22"/>
      <c r="XR83" s="22"/>
      <c r="XS83" s="22"/>
      <c r="XT83" s="22"/>
      <c r="XU83" s="22"/>
      <c r="XV83" s="22"/>
      <c r="XW83" s="22"/>
      <c r="XX83" s="22"/>
      <c r="XY83" s="22"/>
      <c r="XZ83" s="22"/>
      <c r="YA83" s="22"/>
      <c r="YB83" s="22"/>
      <c r="YC83" s="22"/>
      <c r="YD83" s="22"/>
      <c r="YE83" s="22"/>
      <c r="YF83" s="22"/>
      <c r="YG83" s="22"/>
      <c r="YH83" s="22"/>
      <c r="YI83" s="22"/>
      <c r="YJ83" s="22"/>
      <c r="YK83" s="22"/>
      <c r="YL83" s="22"/>
      <c r="YM83" s="22"/>
      <c r="YN83" s="22"/>
      <c r="YO83" s="22"/>
      <c r="YP83" s="22"/>
      <c r="YQ83" s="22"/>
      <c r="YR83" s="22"/>
      <c r="YS83" s="22"/>
      <c r="YT83" s="22"/>
      <c r="YU83" s="22"/>
      <c r="YV83" s="22"/>
      <c r="YW83" s="22"/>
      <c r="YX83" s="22"/>
      <c r="YY83" s="22"/>
      <c r="YZ83" s="22"/>
      <c r="ZA83" s="22"/>
      <c r="ZB83" s="22"/>
      <c r="ZC83" s="22"/>
      <c r="ZD83" s="22"/>
      <c r="ZE83" s="22"/>
      <c r="ZF83" s="22"/>
      <c r="ZG83" s="22"/>
      <c r="ZH83" s="22"/>
      <c r="ZI83" s="22"/>
      <c r="ZJ83" s="22"/>
      <c r="ZK83" s="22"/>
      <c r="ZL83" s="22"/>
      <c r="ZM83" s="22"/>
      <c r="ZN83" s="22"/>
      <c r="ZO83" s="22"/>
      <c r="ZP83" s="22"/>
      <c r="ZQ83" s="22"/>
      <c r="ZR83" s="22"/>
      <c r="ZS83" s="22"/>
      <c r="ZT83" s="22"/>
      <c r="ZU83" s="22"/>
      <c r="ZV83" s="22"/>
      <c r="ZW83" s="22"/>
      <c r="ZX83" s="22"/>
      <c r="ZY83" s="22"/>
      <c r="ZZ83" s="22"/>
      <c r="AAA83" s="22"/>
      <c r="AAB83" s="22"/>
      <c r="AAC83" s="22"/>
      <c r="AAD83" s="22"/>
      <c r="AAE83" s="22"/>
      <c r="AAF83" s="22"/>
      <c r="AAG83" s="22"/>
      <c r="AAH83" s="22"/>
      <c r="AAI83" s="22"/>
      <c r="AAJ83" s="22"/>
      <c r="AAK83" s="22"/>
      <c r="AAL83" s="22"/>
      <c r="AAM83" s="22"/>
      <c r="AAN83" s="22"/>
      <c r="AAO83" s="22"/>
      <c r="AAP83" s="22"/>
      <c r="AAQ83" s="22"/>
      <c r="AAR83" s="22"/>
      <c r="AAS83" s="22"/>
      <c r="AAT83" s="22"/>
      <c r="AAU83" s="22"/>
      <c r="AAV83" s="22"/>
      <c r="AAW83" s="22"/>
      <c r="AAX83" s="22"/>
      <c r="AAY83" s="22"/>
      <c r="AAZ83" s="22"/>
      <c r="ABA83" s="22"/>
      <c r="ABB83" s="22"/>
      <c r="ABC83" s="22"/>
    </row>
    <row r="84" spans="4:731" ht="15" customHeight="1" x14ac:dyDescent="0.3">
      <c r="AA84" s="98"/>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c r="FI84" s="22"/>
      <c r="FJ84" s="22"/>
      <c r="FK84" s="22"/>
      <c r="FL84" s="22"/>
      <c r="FM84" s="22"/>
      <c r="FN84" s="22"/>
      <c r="FO84" s="22"/>
      <c r="FP84" s="22"/>
      <c r="FQ84" s="22"/>
      <c r="FR84" s="22"/>
      <c r="FS84" s="22"/>
      <c r="FT84" s="22"/>
      <c r="FU84" s="22"/>
      <c r="FV84" s="22"/>
      <c r="FW84" s="22"/>
      <c r="FX84" s="22"/>
      <c r="FY84" s="22"/>
      <c r="FZ84" s="22"/>
      <c r="GA84" s="22"/>
      <c r="GB84" s="22"/>
      <c r="GC84" s="22"/>
      <c r="GD84" s="22"/>
      <c r="GE84" s="22"/>
      <c r="GF84" s="22"/>
      <c r="GG84" s="22"/>
      <c r="GH84" s="22"/>
      <c r="GI84" s="22"/>
      <c r="GJ84" s="22"/>
      <c r="GK84" s="22"/>
      <c r="GL84" s="22"/>
      <c r="GM84" s="22"/>
      <c r="GN84" s="22"/>
      <c r="GO84" s="22"/>
      <c r="GP84" s="22"/>
      <c r="GQ84" s="22"/>
      <c r="GR84" s="22"/>
      <c r="GS84" s="22"/>
      <c r="GT84" s="22"/>
      <c r="GU84" s="22"/>
      <c r="GV84" s="22"/>
      <c r="GW84" s="22"/>
      <c r="GX84" s="22"/>
      <c r="GY84" s="22"/>
      <c r="GZ84" s="22"/>
      <c r="HA84" s="22"/>
      <c r="HB84" s="22"/>
      <c r="HC84" s="22"/>
      <c r="HD84" s="22"/>
      <c r="HE84" s="22"/>
      <c r="HF84" s="22"/>
      <c r="HG84" s="22"/>
      <c r="HH84" s="22"/>
      <c r="HI84" s="22"/>
      <c r="HJ84" s="22"/>
      <c r="HK84" s="22"/>
      <c r="HL84" s="22"/>
      <c r="HM84" s="22"/>
      <c r="HN84" s="22"/>
      <c r="HO84" s="22"/>
      <c r="HP84" s="22"/>
      <c r="HQ84" s="22"/>
      <c r="HR84" s="22"/>
      <c r="HS84" s="22"/>
      <c r="HT84" s="22"/>
      <c r="HU84" s="22"/>
      <c r="HV84" s="22"/>
      <c r="HW84" s="22"/>
      <c r="HX84" s="22"/>
      <c r="HY84" s="22"/>
      <c r="HZ84" s="22"/>
      <c r="IA84" s="22"/>
      <c r="IB84" s="22"/>
      <c r="IC84" s="22"/>
      <c r="ID84" s="22"/>
      <c r="IE84" s="22"/>
      <c r="IF84" s="22"/>
      <c r="IG84" s="22"/>
      <c r="IH84" s="22"/>
      <c r="II84" s="22"/>
      <c r="IJ84" s="22"/>
      <c r="IK84" s="22"/>
      <c r="IL84" s="22"/>
      <c r="IM84" s="22"/>
      <c r="IN84" s="22"/>
      <c r="IO84" s="22"/>
      <c r="IP84" s="22"/>
      <c r="IQ84" s="22"/>
      <c r="IR84" s="22"/>
      <c r="IS84" s="22"/>
      <c r="IT84" s="22"/>
      <c r="IU84" s="22"/>
      <c r="IV84" s="22"/>
      <c r="IW84" s="22"/>
      <c r="IX84" s="22"/>
      <c r="IY84" s="22"/>
      <c r="IZ84" s="22"/>
      <c r="JA84" s="22"/>
      <c r="JB84" s="22"/>
      <c r="JC84" s="22"/>
      <c r="JD84" s="22"/>
      <c r="JE84" s="22"/>
      <c r="JJ84" s="22"/>
      <c r="JK84" s="22"/>
      <c r="JL84" s="22"/>
      <c r="JM84" s="22"/>
      <c r="JN84" s="22"/>
      <c r="JO84" s="22"/>
      <c r="JP84" s="22"/>
      <c r="JQ84" s="22"/>
      <c r="JR84" s="22"/>
      <c r="JS84" s="22"/>
      <c r="JT84" s="22"/>
      <c r="JU84" s="22"/>
      <c r="JV84" s="22"/>
      <c r="JW84" s="22"/>
      <c r="JX84" s="22"/>
      <c r="JY84" s="22"/>
      <c r="JZ84" s="22"/>
      <c r="KA84" s="22"/>
      <c r="KB84" s="22"/>
      <c r="KC84" s="22"/>
      <c r="KD84" s="22"/>
      <c r="KE84" s="22"/>
      <c r="KF84" s="22"/>
      <c r="KG84" s="22"/>
      <c r="KH84" s="22"/>
      <c r="KI84" s="22"/>
      <c r="KJ84" s="22"/>
      <c r="KK84" s="22"/>
      <c r="KL84" s="22"/>
      <c r="KM84" s="22"/>
      <c r="KN84" s="22"/>
      <c r="KO84" s="22"/>
      <c r="KP84" s="22"/>
      <c r="KQ84" s="22"/>
      <c r="KR84" s="22"/>
      <c r="KS84" s="22"/>
      <c r="KT84" s="22"/>
      <c r="KU84" s="22"/>
      <c r="KV84" s="22"/>
      <c r="KW84" s="22"/>
      <c r="KX84" s="22"/>
      <c r="KY84" s="22"/>
      <c r="KZ84" s="22"/>
      <c r="LA84" s="22"/>
      <c r="LB84" s="22"/>
      <c r="LC84" s="22"/>
      <c r="LD84" s="22"/>
      <c r="LE84" s="22"/>
      <c r="LF84" s="22"/>
      <c r="LG84" s="22"/>
      <c r="LH84" s="22"/>
      <c r="LI84" s="22"/>
      <c r="LJ84" s="22"/>
      <c r="LK84" s="22"/>
      <c r="LL84" s="22"/>
      <c r="LM84" s="22"/>
      <c r="LN84" s="22"/>
      <c r="LO84" s="22"/>
      <c r="LP84" s="22"/>
      <c r="LQ84" s="22"/>
      <c r="LR84" s="22"/>
      <c r="LS84" s="22"/>
      <c r="LT84" s="22"/>
      <c r="LU84" s="22"/>
      <c r="LV84" s="22"/>
      <c r="LW84" s="22"/>
      <c r="LX84" s="22"/>
      <c r="LY84" s="22"/>
      <c r="LZ84" s="22"/>
      <c r="MA84" s="22"/>
      <c r="MB84" s="22"/>
      <c r="MC84" s="22"/>
      <c r="MD84" s="22"/>
      <c r="ME84" s="22"/>
      <c r="MF84" s="22"/>
      <c r="MG84" s="22"/>
      <c r="MH84" s="22"/>
      <c r="MI84" s="22"/>
      <c r="MJ84" s="22"/>
      <c r="MK84" s="22"/>
      <c r="ML84" s="22"/>
      <c r="MM84" s="22"/>
      <c r="MN84" s="22"/>
      <c r="MO84" s="22"/>
      <c r="MP84" s="22"/>
      <c r="MQ84" s="22"/>
      <c r="MR84" s="22"/>
      <c r="MS84" s="22"/>
      <c r="MT84" s="22"/>
      <c r="MU84" s="22"/>
      <c r="MV84" s="22"/>
      <c r="MW84" s="22"/>
      <c r="MX84" s="22"/>
      <c r="MY84" s="22"/>
      <c r="MZ84" s="22"/>
      <c r="NA84" s="22"/>
      <c r="NB84" s="22"/>
      <c r="NC84" s="22"/>
      <c r="ND84" s="22"/>
      <c r="NE84" s="22"/>
      <c r="NF84" s="22"/>
      <c r="NG84" s="22"/>
      <c r="NH84" s="22"/>
      <c r="NI84" s="22"/>
      <c r="NJ84" s="22"/>
      <c r="NK84" s="22"/>
      <c r="NL84" s="22"/>
      <c r="NM84" s="22"/>
      <c r="NN84" s="22"/>
      <c r="NO84" s="22"/>
      <c r="NP84" s="22"/>
      <c r="NQ84" s="22"/>
      <c r="NR84" s="22"/>
      <c r="NS84" s="22"/>
      <c r="NT84" s="22"/>
      <c r="NU84" s="22"/>
      <c r="NV84" s="22"/>
      <c r="NW84" s="22"/>
      <c r="NX84" s="22"/>
      <c r="NY84" s="22"/>
      <c r="NZ84" s="22"/>
      <c r="OA84" s="22"/>
      <c r="OB84" s="22"/>
      <c r="OC84" s="22"/>
      <c r="OD84" s="22"/>
      <c r="OE84" s="22"/>
      <c r="OF84" s="22"/>
      <c r="OG84" s="22"/>
      <c r="OH84" s="22"/>
      <c r="OI84" s="22"/>
      <c r="OJ84" s="22"/>
      <c r="OK84" s="22"/>
      <c r="OL84" s="22"/>
      <c r="OM84" s="22"/>
      <c r="ON84" s="22"/>
      <c r="OO84" s="22"/>
      <c r="OP84" s="22"/>
      <c r="OQ84" s="22"/>
      <c r="OR84" s="22"/>
      <c r="OS84" s="22"/>
      <c r="OT84" s="22"/>
      <c r="OU84" s="22"/>
      <c r="OV84" s="22"/>
      <c r="OW84" s="22"/>
      <c r="OX84" s="22"/>
      <c r="OY84" s="22"/>
      <c r="OZ84" s="22"/>
      <c r="PA84" s="22"/>
      <c r="PB84" s="22"/>
      <c r="PC84" s="22"/>
      <c r="PD84" s="22"/>
      <c r="PE84" s="22"/>
      <c r="PF84" s="22"/>
      <c r="PG84" s="22"/>
      <c r="PH84" s="22"/>
      <c r="PI84" s="22"/>
      <c r="PJ84" s="22"/>
      <c r="PK84" s="22"/>
      <c r="PL84" s="22"/>
      <c r="PM84" s="22"/>
      <c r="PN84" s="22"/>
      <c r="PO84" s="22"/>
      <c r="PP84" s="22"/>
      <c r="PQ84" s="22"/>
      <c r="PR84" s="22"/>
      <c r="PS84" s="22"/>
      <c r="PT84" s="22"/>
      <c r="PU84" s="22"/>
      <c r="PV84" s="22"/>
      <c r="PW84" s="22"/>
      <c r="PX84" s="22"/>
      <c r="PY84" s="22"/>
      <c r="PZ84" s="22"/>
      <c r="QA84" s="22"/>
      <c r="QB84" s="22"/>
      <c r="QC84" s="22"/>
      <c r="QD84" s="22"/>
      <c r="QE84" s="22"/>
      <c r="QF84" s="22"/>
      <c r="QG84" s="22"/>
      <c r="QH84" s="22"/>
      <c r="QI84" s="22"/>
      <c r="QJ84" s="22"/>
      <c r="QK84" s="22"/>
      <c r="QL84" s="22"/>
      <c r="QM84" s="22"/>
      <c r="QN84" s="22"/>
      <c r="QO84" s="22"/>
      <c r="QP84" s="22"/>
      <c r="QQ84" s="22"/>
      <c r="QR84" s="22"/>
      <c r="QS84" s="22"/>
      <c r="QT84" s="22"/>
      <c r="QU84" s="22"/>
      <c r="QV84" s="22"/>
      <c r="QW84" s="22"/>
      <c r="QX84" s="22"/>
      <c r="QY84" s="22"/>
      <c r="QZ84" s="22"/>
      <c r="RA84" s="22"/>
      <c r="RB84" s="22"/>
      <c r="RC84" s="22"/>
      <c r="RD84" s="22"/>
      <c r="RE84" s="22"/>
      <c r="RF84" s="22"/>
      <c r="RG84" s="22"/>
      <c r="RH84" s="22"/>
      <c r="RI84" s="22"/>
      <c r="RJ84" s="22"/>
      <c r="RK84" s="22"/>
      <c r="RL84" s="22"/>
      <c r="RM84" s="22"/>
      <c r="RN84" s="22"/>
      <c r="RO84" s="22"/>
      <c r="RP84" s="22"/>
      <c r="RQ84" s="22"/>
      <c r="RR84" s="22"/>
      <c r="RS84" s="22"/>
      <c r="RT84" s="22"/>
      <c r="RU84" s="22"/>
      <c r="RV84" s="22"/>
      <c r="RW84" s="22"/>
      <c r="RX84" s="22"/>
      <c r="RY84" s="22"/>
      <c r="RZ84" s="22"/>
      <c r="SA84" s="22"/>
      <c r="SB84" s="22"/>
      <c r="SC84" s="22"/>
      <c r="SD84" s="22"/>
      <c r="SE84" s="22"/>
      <c r="SF84" s="22"/>
      <c r="SG84" s="22"/>
      <c r="SH84" s="22"/>
      <c r="SI84" s="22"/>
      <c r="SJ84" s="22"/>
      <c r="SK84" s="22"/>
      <c r="SL84" s="22"/>
      <c r="SM84" s="22"/>
      <c r="SN84" s="22"/>
      <c r="SO84" s="22"/>
      <c r="SP84" s="22"/>
      <c r="SQ84" s="22"/>
      <c r="SR84" s="22"/>
      <c r="SS84" s="22"/>
      <c r="ST84" s="22"/>
      <c r="SU84" s="22"/>
      <c r="SV84" s="22"/>
      <c r="SW84" s="22"/>
      <c r="SX84" s="22"/>
      <c r="SY84" s="22"/>
      <c r="SZ84" s="22"/>
      <c r="TA84" s="22"/>
      <c r="TB84" s="22"/>
      <c r="TC84" s="22"/>
      <c r="TD84" s="22"/>
      <c r="TE84" s="22"/>
      <c r="TF84" s="22"/>
      <c r="TG84" s="22"/>
      <c r="TH84" s="22"/>
      <c r="TI84" s="22"/>
      <c r="TJ84" s="22"/>
      <c r="TK84" s="22"/>
      <c r="TL84" s="22"/>
      <c r="TM84" s="22"/>
      <c r="TN84" s="22"/>
      <c r="TO84" s="22"/>
      <c r="TP84" s="22"/>
      <c r="TQ84" s="22"/>
      <c r="TR84" s="22"/>
      <c r="TS84" s="22"/>
      <c r="TT84" s="22"/>
      <c r="TU84" s="22"/>
      <c r="TV84" s="22"/>
      <c r="TW84" s="22"/>
      <c r="TX84" s="22"/>
      <c r="TY84" s="22"/>
      <c r="TZ84" s="22"/>
      <c r="UA84" s="22"/>
      <c r="UB84" s="22"/>
      <c r="UC84" s="22"/>
      <c r="UD84" s="22"/>
      <c r="UE84" s="22"/>
      <c r="UF84" s="22"/>
      <c r="UG84" s="22"/>
      <c r="UH84" s="22"/>
      <c r="UI84" s="22"/>
      <c r="UJ84" s="22"/>
      <c r="UK84" s="22"/>
      <c r="UL84" s="22"/>
      <c r="UM84" s="22"/>
      <c r="UN84" s="22"/>
      <c r="UO84" s="22"/>
      <c r="UP84" s="22"/>
      <c r="UQ84" s="22"/>
      <c r="UR84" s="22"/>
      <c r="US84" s="22"/>
      <c r="UT84" s="22"/>
      <c r="UU84" s="22"/>
      <c r="UV84" s="22"/>
      <c r="UW84" s="22"/>
      <c r="UX84" s="22"/>
      <c r="UY84" s="22"/>
      <c r="UZ84" s="22"/>
      <c r="VA84" s="22"/>
      <c r="VB84" s="22"/>
      <c r="VC84" s="22"/>
      <c r="VD84" s="22"/>
      <c r="VE84" s="22"/>
      <c r="VF84" s="22"/>
      <c r="VG84" s="22"/>
      <c r="VH84" s="22"/>
      <c r="VI84" s="22"/>
      <c r="VJ84" s="22"/>
      <c r="VK84" s="22"/>
      <c r="VL84" s="22"/>
      <c r="VM84" s="22"/>
      <c r="VN84" s="22"/>
      <c r="VO84" s="22"/>
      <c r="VP84" s="22"/>
      <c r="VQ84" s="22"/>
      <c r="VR84" s="22"/>
      <c r="VS84" s="22"/>
      <c r="VT84" s="22"/>
      <c r="VU84" s="22"/>
      <c r="VV84" s="22"/>
      <c r="VW84" s="22"/>
      <c r="VX84" s="22"/>
      <c r="VY84" s="22"/>
      <c r="VZ84" s="22"/>
      <c r="WA84" s="22"/>
      <c r="WB84" s="22"/>
      <c r="WC84" s="22"/>
      <c r="WD84" s="22"/>
      <c r="WE84" s="22"/>
      <c r="WF84" s="22"/>
      <c r="WG84" s="22"/>
      <c r="WH84" s="22"/>
      <c r="WI84" s="22"/>
      <c r="WJ84" s="22"/>
      <c r="WK84" s="22"/>
      <c r="WL84" s="22"/>
      <c r="WM84" s="22"/>
      <c r="WN84" s="22"/>
      <c r="WO84" s="22"/>
      <c r="WP84" s="22"/>
      <c r="WQ84" s="22"/>
      <c r="WR84" s="22"/>
      <c r="WS84" s="22"/>
      <c r="WT84" s="22"/>
      <c r="WU84" s="22"/>
      <c r="WV84" s="22"/>
      <c r="WW84" s="22"/>
      <c r="WX84" s="22"/>
      <c r="WY84" s="22"/>
      <c r="WZ84" s="22"/>
      <c r="XA84" s="22"/>
      <c r="XB84" s="22"/>
      <c r="XC84" s="22"/>
      <c r="XD84" s="22"/>
      <c r="XE84" s="22"/>
      <c r="XF84" s="22"/>
      <c r="XG84" s="22"/>
      <c r="XH84" s="22"/>
      <c r="XI84" s="22"/>
      <c r="XJ84" s="22"/>
      <c r="XK84" s="22"/>
      <c r="XL84" s="22"/>
      <c r="XM84" s="22"/>
      <c r="XN84" s="22"/>
      <c r="XO84" s="22"/>
      <c r="XP84" s="22"/>
      <c r="XQ84" s="22"/>
      <c r="XR84" s="22"/>
      <c r="XS84" s="22"/>
      <c r="XT84" s="22"/>
      <c r="XU84" s="22"/>
      <c r="XV84" s="22"/>
      <c r="XW84" s="22"/>
      <c r="XX84" s="22"/>
      <c r="XY84" s="22"/>
      <c r="XZ84" s="22"/>
      <c r="YA84" s="22"/>
      <c r="YB84" s="22"/>
      <c r="YC84" s="22"/>
      <c r="YD84" s="22"/>
      <c r="YE84" s="22"/>
      <c r="YF84" s="22"/>
      <c r="YG84" s="22"/>
      <c r="YH84" s="22"/>
      <c r="YI84" s="22"/>
      <c r="YJ84" s="22"/>
      <c r="YK84" s="22"/>
      <c r="YL84" s="22"/>
      <c r="YM84" s="22"/>
      <c r="YN84" s="22"/>
      <c r="YO84" s="22"/>
      <c r="YP84" s="22"/>
      <c r="YQ84" s="22"/>
      <c r="YR84" s="22"/>
      <c r="YS84" s="22"/>
      <c r="YT84" s="22"/>
      <c r="YU84" s="22"/>
      <c r="YV84" s="22"/>
      <c r="YW84" s="22"/>
      <c r="YX84" s="22"/>
      <c r="YY84" s="22"/>
      <c r="YZ84" s="22"/>
      <c r="ZA84" s="22"/>
      <c r="ZB84" s="22"/>
      <c r="ZC84" s="22"/>
      <c r="ZD84" s="22"/>
      <c r="ZE84" s="22"/>
      <c r="ZF84" s="22"/>
      <c r="ZG84" s="22"/>
      <c r="ZH84" s="22"/>
      <c r="ZI84" s="22"/>
      <c r="ZJ84" s="22"/>
      <c r="ZK84" s="22"/>
      <c r="ZL84" s="22"/>
      <c r="ZM84" s="22"/>
      <c r="ZN84" s="22"/>
      <c r="ZO84" s="22"/>
      <c r="ZP84" s="22"/>
      <c r="ZQ84" s="22"/>
      <c r="ZR84" s="22"/>
      <c r="ZS84" s="22"/>
      <c r="ZT84" s="22"/>
      <c r="ZU84" s="22"/>
      <c r="ZV84" s="22"/>
      <c r="ZW84" s="22"/>
      <c r="ZX84" s="22"/>
      <c r="ZY84" s="22"/>
      <c r="ZZ84" s="22"/>
      <c r="AAA84" s="22"/>
      <c r="AAB84" s="22"/>
      <c r="AAC84" s="22"/>
      <c r="AAD84" s="22"/>
      <c r="AAE84" s="22"/>
      <c r="AAF84" s="22"/>
      <c r="AAG84" s="22"/>
      <c r="AAH84" s="22"/>
      <c r="AAI84" s="22"/>
      <c r="AAJ84" s="22"/>
      <c r="AAK84" s="22"/>
      <c r="AAL84" s="22"/>
      <c r="AAM84" s="22"/>
      <c r="AAN84" s="22"/>
      <c r="AAO84" s="22"/>
      <c r="AAP84" s="22"/>
      <c r="AAQ84" s="22"/>
      <c r="AAR84" s="22"/>
      <c r="AAS84" s="22"/>
      <c r="AAT84" s="22"/>
      <c r="AAU84" s="22"/>
      <c r="AAV84" s="22"/>
      <c r="AAW84" s="22"/>
      <c r="AAX84" s="22"/>
      <c r="AAY84" s="22"/>
      <c r="AAZ84" s="22"/>
      <c r="ABA84" s="22"/>
      <c r="ABB84" s="22"/>
      <c r="ABC84" s="22"/>
    </row>
    <row r="85" spans="4:731" ht="15" customHeight="1" x14ac:dyDescent="0.3">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22"/>
      <c r="EU85" s="22"/>
      <c r="EV85" s="22"/>
      <c r="EW85" s="22"/>
      <c r="EX85" s="22"/>
      <c r="EY85" s="22"/>
      <c r="EZ85" s="22"/>
      <c r="FA85" s="22"/>
      <c r="FB85" s="22"/>
      <c r="FC85" s="22"/>
      <c r="FD85" s="22"/>
      <c r="FE85" s="22"/>
      <c r="FF85" s="22"/>
      <c r="FG85" s="22"/>
      <c r="FH85" s="22"/>
      <c r="FI85" s="22"/>
      <c r="FJ85" s="22"/>
      <c r="FK85" s="22"/>
      <c r="FL85" s="22"/>
      <c r="FM85" s="22"/>
      <c r="FN85" s="22"/>
      <c r="FO85" s="22"/>
      <c r="FP85" s="22"/>
      <c r="FQ85" s="22"/>
      <c r="FR85" s="22"/>
      <c r="FS85" s="22"/>
      <c r="FT85" s="22"/>
      <c r="FU85" s="22"/>
      <c r="FV85" s="22"/>
      <c r="FW85" s="22"/>
      <c r="FX85" s="22"/>
      <c r="FY85" s="22"/>
      <c r="FZ85" s="22"/>
      <c r="GA85" s="22"/>
      <c r="GB85" s="22"/>
      <c r="GC85" s="22"/>
      <c r="GD85" s="22"/>
      <c r="GE85" s="22"/>
      <c r="GF85" s="22"/>
      <c r="GG85" s="22"/>
      <c r="GH85" s="22"/>
      <c r="GI85" s="22"/>
      <c r="GJ85" s="22"/>
      <c r="GK85" s="22"/>
      <c r="GL85" s="22"/>
      <c r="GM85" s="22"/>
      <c r="GN85" s="22"/>
      <c r="GO85" s="22"/>
      <c r="GP85" s="22"/>
      <c r="GQ85" s="22"/>
      <c r="GR85" s="22"/>
      <c r="GS85" s="22"/>
      <c r="GT85" s="22"/>
      <c r="GU85" s="22"/>
      <c r="GV85" s="22"/>
      <c r="GW85" s="22"/>
      <c r="GX85" s="22"/>
      <c r="GY85" s="22"/>
      <c r="GZ85" s="22"/>
      <c r="HA85" s="22"/>
      <c r="HB85" s="22"/>
      <c r="HC85" s="22"/>
      <c r="HD85" s="22"/>
      <c r="HE85" s="22"/>
      <c r="HF85" s="22"/>
      <c r="HG85" s="22"/>
      <c r="HH85" s="22"/>
      <c r="HI85" s="22"/>
      <c r="HJ85" s="22"/>
      <c r="HK85" s="22"/>
      <c r="HL85" s="22"/>
      <c r="HM85" s="22"/>
      <c r="HN85" s="22"/>
      <c r="HO85" s="22"/>
      <c r="HP85" s="22"/>
      <c r="HQ85" s="22"/>
      <c r="HR85" s="22"/>
      <c r="HS85" s="22"/>
      <c r="HT85" s="22"/>
      <c r="HU85" s="22"/>
      <c r="HV85" s="22"/>
      <c r="HW85" s="22"/>
      <c r="HX85" s="22"/>
      <c r="HY85" s="22"/>
      <c r="HZ85" s="22"/>
      <c r="IA85" s="22"/>
      <c r="IB85" s="22"/>
      <c r="IC85" s="22"/>
      <c r="ID85" s="22"/>
      <c r="IE85" s="22"/>
      <c r="IF85" s="22"/>
      <c r="IG85" s="22"/>
      <c r="IH85" s="22"/>
      <c r="II85" s="22"/>
      <c r="IJ85" s="22"/>
      <c r="IK85" s="22"/>
      <c r="IL85" s="22"/>
      <c r="IM85" s="22"/>
      <c r="IN85" s="22"/>
      <c r="IO85" s="22"/>
      <c r="IP85" s="22"/>
      <c r="IQ85" s="22"/>
      <c r="IR85" s="22"/>
      <c r="IS85" s="22"/>
      <c r="IT85" s="22"/>
      <c r="IU85" s="22"/>
      <c r="IV85" s="22"/>
      <c r="IW85" s="22"/>
      <c r="IX85" s="22"/>
      <c r="IY85" s="22"/>
      <c r="IZ85" s="22"/>
      <c r="JA85" s="22"/>
      <c r="JB85" s="22"/>
      <c r="JC85" s="22"/>
      <c r="JD85" s="22"/>
      <c r="JE85" s="22"/>
      <c r="JJ85" s="22"/>
      <c r="JK85" s="22"/>
      <c r="JL85" s="22"/>
      <c r="JM85" s="22"/>
      <c r="JN85" s="22"/>
      <c r="JO85" s="22"/>
      <c r="JP85" s="22"/>
      <c r="JQ85" s="22"/>
      <c r="JR85" s="22"/>
      <c r="JS85" s="22"/>
      <c r="JT85" s="22"/>
      <c r="JU85" s="22"/>
      <c r="JV85" s="22"/>
      <c r="JW85" s="22"/>
      <c r="JX85" s="22"/>
      <c r="JY85" s="22"/>
      <c r="JZ85" s="22"/>
      <c r="KA85" s="22"/>
      <c r="KB85" s="22"/>
      <c r="KC85" s="22"/>
      <c r="KD85" s="22"/>
      <c r="KE85" s="22"/>
      <c r="KF85" s="22"/>
      <c r="KG85" s="22"/>
      <c r="KH85" s="22"/>
      <c r="KI85" s="22"/>
      <c r="KJ85" s="22"/>
      <c r="KK85" s="22"/>
      <c r="KL85" s="22"/>
      <c r="KM85" s="22"/>
      <c r="KN85" s="22"/>
      <c r="KO85" s="22"/>
      <c r="KP85" s="22"/>
      <c r="KQ85" s="22"/>
      <c r="KR85" s="22"/>
      <c r="KS85" s="22"/>
      <c r="KT85" s="22"/>
      <c r="KU85" s="22"/>
      <c r="KV85" s="22"/>
      <c r="KW85" s="22"/>
      <c r="KX85" s="22"/>
      <c r="KY85" s="22"/>
      <c r="KZ85" s="22"/>
      <c r="LA85" s="22"/>
      <c r="LB85" s="22"/>
      <c r="LC85" s="22"/>
      <c r="LD85" s="22"/>
      <c r="LE85" s="22"/>
      <c r="LF85" s="22"/>
      <c r="LG85" s="22"/>
      <c r="LH85" s="22"/>
      <c r="LI85" s="22"/>
      <c r="LJ85" s="22"/>
      <c r="LK85" s="22"/>
      <c r="LL85" s="22"/>
      <c r="LM85" s="22"/>
      <c r="LN85" s="22"/>
      <c r="LO85" s="22"/>
      <c r="LP85" s="22"/>
      <c r="LQ85" s="22"/>
      <c r="LR85" s="22"/>
      <c r="LS85" s="22"/>
      <c r="LT85" s="22"/>
      <c r="LU85" s="22"/>
      <c r="LV85" s="22"/>
      <c r="LW85" s="22"/>
      <c r="LX85" s="22"/>
      <c r="LY85" s="22"/>
      <c r="LZ85" s="22"/>
      <c r="MA85" s="22"/>
      <c r="MB85" s="22"/>
      <c r="MC85" s="22"/>
      <c r="MD85" s="22"/>
      <c r="ME85" s="22"/>
      <c r="MF85" s="22"/>
      <c r="MG85" s="22"/>
      <c r="MH85" s="22"/>
      <c r="MI85" s="22"/>
      <c r="MJ85" s="22"/>
      <c r="MK85" s="22"/>
      <c r="ML85" s="22"/>
      <c r="MM85" s="22"/>
      <c r="MN85" s="22"/>
      <c r="MO85" s="22"/>
      <c r="MP85" s="22"/>
      <c r="MQ85" s="22"/>
      <c r="MR85" s="22"/>
      <c r="MS85" s="22"/>
      <c r="MT85" s="22"/>
      <c r="MU85" s="22"/>
      <c r="MV85" s="22"/>
      <c r="MW85" s="22"/>
      <c r="MX85" s="22"/>
      <c r="MY85" s="22"/>
      <c r="MZ85" s="22"/>
      <c r="NA85" s="22"/>
      <c r="NB85" s="22"/>
      <c r="NC85" s="22"/>
      <c r="ND85" s="22"/>
      <c r="NE85" s="22"/>
      <c r="NF85" s="22"/>
      <c r="NG85" s="22"/>
      <c r="NH85" s="22"/>
      <c r="NI85" s="22"/>
      <c r="NJ85" s="22"/>
      <c r="NK85" s="22"/>
      <c r="NL85" s="22"/>
      <c r="NM85" s="22"/>
      <c r="NN85" s="22"/>
      <c r="NO85" s="22"/>
      <c r="NP85" s="22"/>
      <c r="NQ85" s="22"/>
      <c r="NR85" s="22"/>
      <c r="NS85" s="22"/>
      <c r="NT85" s="22"/>
      <c r="NU85" s="22"/>
      <c r="NV85" s="22"/>
      <c r="NW85" s="22"/>
      <c r="NX85" s="22"/>
      <c r="NY85" s="22"/>
      <c r="NZ85" s="22"/>
      <c r="OA85" s="22"/>
      <c r="OB85" s="22"/>
      <c r="OC85" s="22"/>
      <c r="OD85" s="22"/>
      <c r="OE85" s="22"/>
      <c r="OF85" s="22"/>
      <c r="OG85" s="22"/>
      <c r="OH85" s="22"/>
      <c r="OI85" s="22"/>
      <c r="OJ85" s="22"/>
      <c r="OK85" s="22"/>
      <c r="OL85" s="22"/>
      <c r="OM85" s="22"/>
      <c r="ON85" s="22"/>
      <c r="OO85" s="22"/>
      <c r="OP85" s="22"/>
      <c r="OQ85" s="22"/>
      <c r="OR85" s="22"/>
      <c r="OS85" s="22"/>
      <c r="OT85" s="22"/>
      <c r="OU85" s="22"/>
      <c r="OV85" s="22"/>
      <c r="OW85" s="22"/>
      <c r="OX85" s="22"/>
      <c r="OY85" s="22"/>
      <c r="OZ85" s="22"/>
      <c r="PA85" s="22"/>
      <c r="PB85" s="22"/>
      <c r="PC85" s="22"/>
      <c r="PD85" s="22"/>
      <c r="PE85" s="22"/>
      <c r="PF85" s="22"/>
      <c r="PG85" s="22"/>
      <c r="PH85" s="22"/>
      <c r="PI85" s="22"/>
      <c r="PJ85" s="22"/>
      <c r="PK85" s="22"/>
      <c r="PL85" s="22"/>
      <c r="PM85" s="22"/>
      <c r="PN85" s="22"/>
      <c r="PO85" s="22"/>
      <c r="PP85" s="22"/>
      <c r="PQ85" s="22"/>
      <c r="PR85" s="22"/>
      <c r="PS85" s="22"/>
      <c r="PT85" s="22"/>
      <c r="PU85" s="22"/>
      <c r="PV85" s="22"/>
      <c r="PW85" s="22"/>
      <c r="PX85" s="22"/>
      <c r="PY85" s="22"/>
      <c r="PZ85" s="22"/>
      <c r="QA85" s="22"/>
      <c r="QB85" s="22"/>
      <c r="QC85" s="22"/>
      <c r="QD85" s="22"/>
      <c r="QE85" s="22"/>
      <c r="QF85" s="22"/>
      <c r="QG85" s="22"/>
      <c r="QH85" s="22"/>
      <c r="QI85" s="22"/>
      <c r="QJ85" s="22"/>
      <c r="QK85" s="22"/>
      <c r="QL85" s="22"/>
      <c r="QM85" s="22"/>
      <c r="QN85" s="22"/>
      <c r="QO85" s="22"/>
      <c r="QP85" s="22"/>
      <c r="QQ85" s="22"/>
      <c r="QR85" s="22"/>
      <c r="QS85" s="22"/>
      <c r="QT85" s="22"/>
      <c r="QU85" s="22"/>
      <c r="QV85" s="22"/>
      <c r="QW85" s="22"/>
      <c r="QX85" s="22"/>
      <c r="QY85" s="22"/>
      <c r="QZ85" s="22"/>
      <c r="RA85" s="22"/>
      <c r="RB85" s="22"/>
      <c r="RC85" s="22"/>
      <c r="RD85" s="22"/>
      <c r="RE85" s="22"/>
      <c r="RF85" s="22"/>
      <c r="RG85" s="22"/>
      <c r="RH85" s="22"/>
      <c r="RI85" s="22"/>
      <c r="RJ85" s="22"/>
      <c r="RK85" s="22"/>
      <c r="RL85" s="22"/>
      <c r="RM85" s="22"/>
      <c r="RN85" s="22"/>
      <c r="RO85" s="22"/>
      <c r="RP85" s="22"/>
      <c r="RQ85" s="22"/>
      <c r="RR85" s="22"/>
      <c r="RS85" s="22"/>
      <c r="RT85" s="22"/>
      <c r="RU85" s="22"/>
      <c r="RV85" s="22"/>
      <c r="RW85" s="22"/>
      <c r="RX85" s="22"/>
      <c r="RY85" s="22"/>
      <c r="RZ85" s="22"/>
      <c r="SA85" s="22"/>
      <c r="SB85" s="22"/>
      <c r="SC85" s="22"/>
      <c r="SD85" s="22"/>
      <c r="SE85" s="22"/>
      <c r="SF85" s="22"/>
      <c r="SG85" s="22"/>
      <c r="SH85" s="22"/>
      <c r="SI85" s="22"/>
      <c r="SJ85" s="22"/>
      <c r="SK85" s="22"/>
      <c r="SL85" s="22"/>
      <c r="SM85" s="22"/>
      <c r="SN85" s="22"/>
      <c r="SO85" s="22"/>
      <c r="SP85" s="22"/>
      <c r="SQ85" s="22"/>
      <c r="SR85" s="22"/>
      <c r="SS85" s="22"/>
      <c r="ST85" s="22"/>
      <c r="SU85" s="22"/>
      <c r="SV85" s="22"/>
      <c r="SW85" s="22"/>
      <c r="SX85" s="22"/>
      <c r="SY85" s="22"/>
      <c r="SZ85" s="22"/>
      <c r="TA85" s="22"/>
      <c r="TB85" s="22"/>
      <c r="TC85" s="22"/>
      <c r="TD85" s="22"/>
      <c r="TE85" s="22"/>
      <c r="TF85" s="22"/>
      <c r="TG85" s="22"/>
      <c r="TH85" s="22"/>
      <c r="TI85" s="22"/>
      <c r="TJ85" s="22"/>
      <c r="TK85" s="22"/>
      <c r="TL85" s="22"/>
      <c r="TM85" s="22"/>
      <c r="TN85" s="22"/>
      <c r="TO85" s="22"/>
      <c r="TP85" s="22"/>
      <c r="TQ85" s="22"/>
      <c r="TR85" s="22"/>
      <c r="TS85" s="22"/>
      <c r="TT85" s="22"/>
      <c r="TU85" s="22"/>
      <c r="TV85" s="22"/>
      <c r="TW85" s="22"/>
      <c r="TX85" s="22"/>
      <c r="TY85" s="22"/>
      <c r="TZ85" s="22"/>
      <c r="UA85" s="22"/>
      <c r="UB85" s="22"/>
      <c r="UC85" s="22"/>
      <c r="UD85" s="22"/>
      <c r="UE85" s="22"/>
      <c r="UF85" s="22"/>
      <c r="UG85" s="22"/>
      <c r="UH85" s="22"/>
      <c r="UI85" s="22"/>
      <c r="UJ85" s="22"/>
      <c r="UK85" s="22"/>
      <c r="UL85" s="22"/>
      <c r="UM85" s="22"/>
      <c r="UN85" s="22"/>
      <c r="UO85" s="22"/>
      <c r="UP85" s="22"/>
      <c r="UQ85" s="22"/>
      <c r="UR85" s="22"/>
      <c r="US85" s="22"/>
      <c r="UT85" s="22"/>
      <c r="UU85" s="22"/>
      <c r="UV85" s="22"/>
      <c r="UW85" s="22"/>
      <c r="UX85" s="22"/>
      <c r="UY85" s="22"/>
      <c r="UZ85" s="22"/>
      <c r="VA85" s="22"/>
      <c r="VB85" s="22"/>
      <c r="VC85" s="22"/>
      <c r="VD85" s="22"/>
      <c r="VE85" s="22"/>
      <c r="VF85" s="22"/>
      <c r="VG85" s="22"/>
      <c r="VH85" s="22"/>
      <c r="VI85" s="22"/>
      <c r="VJ85" s="22"/>
      <c r="VK85" s="22"/>
      <c r="VL85" s="22"/>
      <c r="VM85" s="22"/>
      <c r="VN85" s="22"/>
      <c r="VO85" s="22"/>
      <c r="VP85" s="22"/>
      <c r="VQ85" s="22"/>
      <c r="VR85" s="22"/>
      <c r="VS85" s="22"/>
      <c r="VT85" s="22"/>
      <c r="VU85" s="22"/>
      <c r="VV85" s="22"/>
      <c r="VW85" s="22"/>
      <c r="VX85" s="22"/>
      <c r="VY85" s="22"/>
      <c r="VZ85" s="22"/>
      <c r="WA85" s="22"/>
      <c r="WB85" s="22"/>
      <c r="WC85" s="22"/>
      <c r="WD85" s="22"/>
      <c r="WE85" s="22"/>
      <c r="WF85" s="22"/>
      <c r="WG85" s="22"/>
      <c r="WH85" s="22"/>
      <c r="WI85" s="22"/>
      <c r="WJ85" s="22"/>
      <c r="WK85" s="22"/>
      <c r="WL85" s="22"/>
      <c r="WM85" s="22"/>
      <c r="WN85" s="22"/>
      <c r="WO85" s="22"/>
      <c r="WP85" s="22"/>
      <c r="WQ85" s="22"/>
      <c r="WR85" s="22"/>
      <c r="WS85" s="22"/>
      <c r="WT85" s="22"/>
      <c r="WU85" s="22"/>
      <c r="WV85" s="22"/>
      <c r="WW85" s="22"/>
      <c r="WX85" s="22"/>
      <c r="WY85" s="22"/>
      <c r="WZ85" s="22"/>
      <c r="XA85" s="22"/>
      <c r="XB85" s="22"/>
      <c r="XC85" s="22"/>
      <c r="XD85" s="22"/>
      <c r="XE85" s="22"/>
      <c r="XF85" s="22"/>
      <c r="XG85" s="22"/>
      <c r="XH85" s="22"/>
      <c r="XI85" s="22"/>
      <c r="XJ85" s="22"/>
      <c r="XK85" s="22"/>
      <c r="XL85" s="22"/>
      <c r="XM85" s="22"/>
      <c r="XN85" s="22"/>
      <c r="XO85" s="22"/>
      <c r="XP85" s="22"/>
      <c r="XQ85" s="22"/>
      <c r="XR85" s="22"/>
      <c r="XS85" s="22"/>
      <c r="XT85" s="22"/>
      <c r="XU85" s="22"/>
      <c r="XV85" s="22"/>
      <c r="XW85" s="22"/>
      <c r="XX85" s="22"/>
      <c r="XY85" s="22"/>
      <c r="XZ85" s="22"/>
      <c r="YA85" s="22"/>
      <c r="YB85" s="22"/>
      <c r="YC85" s="22"/>
      <c r="YD85" s="22"/>
      <c r="YE85" s="22"/>
      <c r="YF85" s="22"/>
      <c r="YG85" s="22"/>
      <c r="YH85" s="22"/>
      <c r="YI85" s="22"/>
      <c r="YJ85" s="22"/>
      <c r="YK85" s="22"/>
      <c r="YL85" s="22"/>
      <c r="YM85" s="22"/>
      <c r="YN85" s="22"/>
      <c r="YO85" s="22"/>
      <c r="YP85" s="22"/>
      <c r="YQ85" s="22"/>
      <c r="YR85" s="22"/>
      <c r="YS85" s="22"/>
      <c r="YT85" s="22"/>
      <c r="YU85" s="22"/>
      <c r="YV85" s="22"/>
      <c r="YW85" s="22"/>
      <c r="YX85" s="22"/>
      <c r="YY85" s="22"/>
      <c r="YZ85" s="22"/>
      <c r="ZA85" s="22"/>
      <c r="ZB85" s="22"/>
      <c r="ZC85" s="22"/>
      <c r="ZD85" s="22"/>
      <c r="ZE85" s="22"/>
      <c r="ZF85" s="22"/>
      <c r="ZG85" s="22"/>
      <c r="ZH85" s="22"/>
      <c r="ZI85" s="22"/>
      <c r="ZJ85" s="22"/>
      <c r="ZK85" s="22"/>
      <c r="ZL85" s="22"/>
      <c r="ZM85" s="22"/>
      <c r="ZN85" s="22"/>
      <c r="ZO85" s="22"/>
      <c r="ZP85" s="22"/>
      <c r="ZQ85" s="22"/>
      <c r="ZR85" s="22"/>
      <c r="ZS85" s="22"/>
      <c r="ZT85" s="22"/>
      <c r="ZU85" s="22"/>
      <c r="ZV85" s="22"/>
      <c r="ZW85" s="22"/>
      <c r="ZX85" s="22"/>
      <c r="ZY85" s="22"/>
      <c r="ZZ85" s="22"/>
      <c r="AAA85" s="22"/>
      <c r="AAB85" s="22"/>
      <c r="AAC85" s="22"/>
      <c r="AAD85" s="22"/>
      <c r="AAE85" s="22"/>
      <c r="AAF85" s="22"/>
      <c r="AAG85" s="22"/>
      <c r="AAH85" s="22"/>
      <c r="AAI85" s="22"/>
      <c r="AAJ85" s="22"/>
      <c r="AAK85" s="22"/>
      <c r="AAL85" s="22"/>
      <c r="AAM85" s="22"/>
      <c r="AAN85" s="22"/>
      <c r="AAO85" s="22"/>
      <c r="AAP85" s="22"/>
      <c r="AAQ85" s="22"/>
      <c r="AAR85" s="22"/>
      <c r="AAS85" s="22"/>
      <c r="AAT85" s="22"/>
      <c r="AAU85" s="22"/>
      <c r="AAV85" s="22"/>
      <c r="AAW85" s="22"/>
      <c r="AAX85" s="22"/>
      <c r="AAY85" s="22"/>
      <c r="AAZ85" s="22"/>
      <c r="ABA85" s="22"/>
      <c r="ABB85" s="22"/>
      <c r="ABC85" s="22"/>
    </row>
    <row r="86" spans="4:731" ht="15" customHeight="1" x14ac:dyDescent="0.3">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c r="FJ86" s="22"/>
      <c r="FK86" s="22"/>
      <c r="FL86" s="22"/>
      <c r="FM86" s="22"/>
      <c r="FN86" s="22"/>
      <c r="FO86" s="22"/>
      <c r="FP86" s="22"/>
      <c r="FQ86" s="22"/>
      <c r="FR86" s="22"/>
      <c r="FS86" s="22"/>
      <c r="FT86" s="22"/>
      <c r="FU86" s="22"/>
      <c r="FV86" s="22"/>
      <c r="FW86" s="22"/>
      <c r="FX86" s="22"/>
      <c r="FY86" s="22"/>
      <c r="FZ86" s="22"/>
      <c r="GA86" s="22"/>
      <c r="GB86" s="22"/>
      <c r="GC86" s="22"/>
      <c r="GD86" s="22"/>
      <c r="GE86" s="22"/>
      <c r="GF86" s="22"/>
      <c r="GG86" s="22"/>
      <c r="GH86" s="22"/>
      <c r="GI86" s="22"/>
      <c r="GJ86" s="22"/>
      <c r="GK86" s="22"/>
      <c r="GL86" s="22"/>
      <c r="GM86" s="22"/>
      <c r="GN86" s="22"/>
      <c r="GO86" s="22"/>
      <c r="GP86" s="22"/>
      <c r="GQ86" s="22"/>
      <c r="GR86" s="22"/>
      <c r="GS86" s="22"/>
      <c r="GT86" s="22"/>
      <c r="GU86" s="22"/>
      <c r="GV86" s="22"/>
      <c r="GW86" s="22"/>
      <c r="GX86" s="22"/>
      <c r="GY86" s="22"/>
      <c r="GZ86" s="22"/>
      <c r="HA86" s="22"/>
      <c r="HB86" s="22"/>
      <c r="HC86" s="22"/>
      <c r="HD86" s="22"/>
      <c r="HE86" s="22"/>
      <c r="HF86" s="22"/>
      <c r="HG86" s="22"/>
      <c r="HH86" s="22"/>
      <c r="HI86" s="22"/>
      <c r="HJ86" s="22"/>
      <c r="HK86" s="22"/>
      <c r="HL86" s="22"/>
      <c r="HM86" s="22"/>
      <c r="HN86" s="22"/>
      <c r="HO86" s="22"/>
      <c r="HP86" s="22"/>
      <c r="HQ86" s="22"/>
      <c r="HR86" s="22"/>
      <c r="HS86" s="22"/>
      <c r="HT86" s="22"/>
      <c r="HU86" s="22"/>
      <c r="HV86" s="22"/>
      <c r="HW86" s="22"/>
      <c r="HX86" s="22"/>
      <c r="HY86" s="22"/>
      <c r="HZ86" s="22"/>
      <c r="IA86" s="22"/>
      <c r="IB86" s="22"/>
      <c r="IC86" s="22"/>
      <c r="ID86" s="22"/>
      <c r="IE86" s="22"/>
      <c r="IF86" s="22"/>
      <c r="IG86" s="22"/>
      <c r="IH86" s="22"/>
      <c r="II86" s="22"/>
      <c r="IJ86" s="22"/>
      <c r="IK86" s="22"/>
      <c r="IL86" s="22"/>
      <c r="IM86" s="22"/>
      <c r="IN86" s="22"/>
      <c r="IO86" s="22"/>
      <c r="IP86" s="22"/>
      <c r="IQ86" s="22"/>
      <c r="IR86" s="22"/>
      <c r="IS86" s="22"/>
      <c r="IT86" s="22"/>
      <c r="IU86" s="22"/>
      <c r="IV86" s="22"/>
      <c r="IW86" s="22"/>
      <c r="IX86" s="22"/>
      <c r="IY86" s="22"/>
      <c r="IZ86" s="22"/>
      <c r="JA86" s="22"/>
      <c r="JB86" s="22"/>
      <c r="JC86" s="22"/>
      <c r="JD86" s="22"/>
      <c r="JE86" s="22"/>
      <c r="JJ86" s="22"/>
      <c r="JK86" s="22"/>
      <c r="JL86" s="22"/>
      <c r="JM86" s="22"/>
      <c r="JN86" s="22"/>
      <c r="JO86" s="22"/>
      <c r="JP86" s="22"/>
      <c r="JQ86" s="22"/>
      <c r="JR86" s="22"/>
      <c r="JS86" s="22"/>
      <c r="JT86" s="22"/>
      <c r="JU86" s="22"/>
      <c r="JV86" s="22"/>
      <c r="JW86" s="22"/>
      <c r="JX86" s="22"/>
      <c r="JY86" s="22"/>
      <c r="JZ86" s="22"/>
      <c r="KA86" s="22"/>
      <c r="KB86" s="22"/>
      <c r="KC86" s="22"/>
      <c r="KD86" s="22"/>
      <c r="KE86" s="22"/>
      <c r="KF86" s="22"/>
      <c r="KG86" s="22"/>
      <c r="KH86" s="22"/>
      <c r="KI86" s="22"/>
      <c r="KJ86" s="22"/>
      <c r="KK86" s="22"/>
      <c r="KL86" s="22"/>
      <c r="KM86" s="22"/>
      <c r="KN86" s="22"/>
      <c r="KO86" s="22"/>
      <c r="KP86" s="22"/>
      <c r="KQ86" s="22"/>
      <c r="KR86" s="22"/>
      <c r="KS86" s="22"/>
      <c r="KT86" s="22"/>
      <c r="KU86" s="22"/>
      <c r="KV86" s="22"/>
      <c r="KW86" s="22"/>
      <c r="KX86" s="22"/>
      <c r="KY86" s="22"/>
      <c r="KZ86" s="22"/>
      <c r="LA86" s="22"/>
      <c r="LB86" s="22"/>
      <c r="LC86" s="22"/>
      <c r="LD86" s="22"/>
      <c r="LE86" s="22"/>
      <c r="LF86" s="22"/>
      <c r="LG86" s="22"/>
      <c r="LH86" s="22"/>
      <c r="LI86" s="22"/>
      <c r="LJ86" s="22"/>
      <c r="LK86" s="22"/>
      <c r="LL86" s="22"/>
      <c r="LM86" s="22"/>
      <c r="LN86" s="22"/>
      <c r="LO86" s="22"/>
      <c r="LP86" s="22"/>
      <c r="LQ86" s="22"/>
      <c r="LR86" s="22"/>
      <c r="LS86" s="22"/>
      <c r="LT86" s="22"/>
      <c r="LU86" s="22"/>
      <c r="LV86" s="22"/>
      <c r="LW86" s="22"/>
      <c r="LX86" s="22"/>
      <c r="LY86" s="22"/>
      <c r="LZ86" s="22"/>
      <c r="MA86" s="22"/>
      <c r="MB86" s="22"/>
      <c r="MC86" s="22"/>
      <c r="MD86" s="22"/>
      <c r="ME86" s="22"/>
      <c r="MF86" s="22"/>
      <c r="MG86" s="22"/>
      <c r="MH86" s="22"/>
      <c r="MI86" s="22"/>
      <c r="MJ86" s="22"/>
      <c r="MK86" s="22"/>
      <c r="ML86" s="22"/>
      <c r="MM86" s="22"/>
      <c r="MN86" s="22"/>
      <c r="MO86" s="22"/>
      <c r="MP86" s="22"/>
      <c r="MQ86" s="22"/>
      <c r="MR86" s="22"/>
      <c r="MS86" s="22"/>
      <c r="MT86" s="22"/>
      <c r="MU86" s="22"/>
      <c r="MV86" s="22"/>
      <c r="MW86" s="22"/>
      <c r="MX86" s="22"/>
      <c r="MY86" s="22"/>
      <c r="MZ86" s="22"/>
      <c r="NA86" s="22"/>
      <c r="NB86" s="22"/>
      <c r="NC86" s="22"/>
      <c r="ND86" s="22"/>
      <c r="NE86" s="22"/>
      <c r="NF86" s="22"/>
      <c r="NG86" s="22"/>
      <c r="NH86" s="22"/>
      <c r="NI86" s="22"/>
      <c r="NJ86" s="22"/>
      <c r="NK86" s="22"/>
      <c r="NL86" s="22"/>
      <c r="NM86" s="22"/>
      <c r="NN86" s="22"/>
      <c r="NO86" s="22"/>
      <c r="NP86" s="22"/>
      <c r="NQ86" s="22"/>
      <c r="NR86" s="22"/>
      <c r="NS86" s="22"/>
      <c r="NT86" s="22"/>
      <c r="NU86" s="22"/>
      <c r="NV86" s="22"/>
      <c r="NW86" s="22"/>
      <c r="NX86" s="22"/>
      <c r="NY86" s="22"/>
      <c r="NZ86" s="22"/>
      <c r="OA86" s="22"/>
      <c r="OB86" s="22"/>
      <c r="OC86" s="22"/>
      <c r="OD86" s="22"/>
      <c r="OE86" s="22"/>
      <c r="OF86" s="22"/>
      <c r="OG86" s="22"/>
      <c r="OH86" s="22"/>
      <c r="OI86" s="22"/>
      <c r="OJ86" s="22"/>
      <c r="OK86" s="22"/>
      <c r="OL86" s="22"/>
      <c r="OM86" s="22"/>
      <c r="ON86" s="22"/>
      <c r="OO86" s="22"/>
      <c r="OP86" s="22"/>
      <c r="OQ86" s="22"/>
      <c r="OR86" s="22"/>
      <c r="OS86" s="22"/>
      <c r="OT86" s="22"/>
      <c r="OU86" s="22"/>
      <c r="OV86" s="22"/>
      <c r="OW86" s="22"/>
      <c r="OX86" s="22"/>
      <c r="OY86" s="22"/>
      <c r="OZ86" s="22"/>
      <c r="PA86" s="22"/>
      <c r="PB86" s="22"/>
      <c r="PC86" s="22"/>
      <c r="PD86" s="22"/>
      <c r="PE86" s="22"/>
      <c r="PF86" s="22"/>
      <c r="PG86" s="22"/>
      <c r="PH86" s="22"/>
      <c r="PI86" s="22"/>
      <c r="PJ86" s="22"/>
      <c r="PK86" s="22"/>
      <c r="PL86" s="22"/>
      <c r="PM86" s="22"/>
      <c r="PN86" s="22"/>
      <c r="PO86" s="22"/>
      <c r="PP86" s="22"/>
      <c r="PQ86" s="22"/>
      <c r="PR86" s="22"/>
      <c r="PS86" s="22"/>
      <c r="PT86" s="22"/>
      <c r="PU86" s="22"/>
      <c r="PV86" s="22"/>
      <c r="PW86" s="22"/>
      <c r="PX86" s="22"/>
      <c r="PY86" s="22"/>
      <c r="PZ86" s="22"/>
      <c r="QA86" s="22"/>
      <c r="QB86" s="22"/>
      <c r="QC86" s="22"/>
      <c r="QD86" s="22"/>
      <c r="QE86" s="22"/>
      <c r="QF86" s="22"/>
      <c r="QG86" s="22"/>
      <c r="QH86" s="22"/>
      <c r="QI86" s="22"/>
      <c r="QJ86" s="22"/>
      <c r="QK86" s="22"/>
      <c r="QL86" s="22"/>
      <c r="QM86" s="22"/>
      <c r="QN86" s="22"/>
      <c r="QO86" s="22"/>
      <c r="QP86" s="22"/>
      <c r="QQ86" s="22"/>
      <c r="QR86" s="22"/>
      <c r="QS86" s="22"/>
      <c r="QT86" s="22"/>
      <c r="QU86" s="22"/>
      <c r="QV86" s="22"/>
      <c r="QW86" s="22"/>
      <c r="QX86" s="22"/>
      <c r="QY86" s="22"/>
      <c r="QZ86" s="22"/>
      <c r="RA86" s="22"/>
      <c r="RB86" s="22"/>
      <c r="RC86" s="22"/>
      <c r="RD86" s="22"/>
      <c r="RE86" s="22"/>
      <c r="RF86" s="22"/>
      <c r="RG86" s="22"/>
      <c r="RH86" s="22"/>
      <c r="RI86" s="22"/>
      <c r="RJ86" s="22"/>
      <c r="RK86" s="22"/>
      <c r="RL86" s="22"/>
      <c r="RM86" s="22"/>
      <c r="RN86" s="22"/>
      <c r="RO86" s="22"/>
      <c r="RP86" s="22"/>
      <c r="RQ86" s="22"/>
      <c r="RR86" s="22"/>
      <c r="RS86" s="22"/>
      <c r="RT86" s="22"/>
      <c r="RU86" s="22"/>
      <c r="RV86" s="22"/>
      <c r="RW86" s="22"/>
      <c r="RX86" s="22"/>
      <c r="RY86" s="22"/>
      <c r="RZ86" s="22"/>
      <c r="SA86" s="22"/>
      <c r="SB86" s="22"/>
      <c r="SC86" s="22"/>
      <c r="SD86" s="22"/>
      <c r="SE86" s="22"/>
      <c r="SF86" s="22"/>
      <c r="SG86" s="22"/>
      <c r="SH86" s="22"/>
      <c r="SI86" s="22"/>
      <c r="SJ86" s="22"/>
      <c r="SK86" s="22"/>
      <c r="SL86" s="22"/>
      <c r="SM86" s="22"/>
      <c r="SN86" s="22"/>
      <c r="SO86" s="22"/>
      <c r="SP86" s="22"/>
      <c r="SQ86" s="22"/>
      <c r="SR86" s="22"/>
      <c r="SS86" s="22"/>
      <c r="ST86" s="22"/>
      <c r="SU86" s="22"/>
      <c r="SV86" s="22"/>
      <c r="SW86" s="22"/>
      <c r="SX86" s="22"/>
      <c r="SY86" s="22"/>
      <c r="SZ86" s="22"/>
      <c r="TA86" s="22"/>
      <c r="TB86" s="22"/>
      <c r="TC86" s="22"/>
      <c r="TD86" s="22"/>
      <c r="TE86" s="22"/>
      <c r="TF86" s="22"/>
      <c r="TG86" s="22"/>
      <c r="TH86" s="22"/>
      <c r="TI86" s="22"/>
      <c r="TJ86" s="22"/>
      <c r="TK86" s="22"/>
      <c r="TL86" s="22"/>
      <c r="TM86" s="22"/>
      <c r="TN86" s="22"/>
      <c r="TO86" s="22"/>
      <c r="TP86" s="22"/>
      <c r="TQ86" s="22"/>
      <c r="TR86" s="22"/>
      <c r="TS86" s="22"/>
      <c r="TT86" s="22"/>
      <c r="TU86" s="22"/>
      <c r="TV86" s="22"/>
      <c r="TW86" s="22"/>
      <c r="TX86" s="22"/>
      <c r="TY86" s="22"/>
      <c r="TZ86" s="22"/>
      <c r="UA86" s="22"/>
      <c r="UB86" s="22"/>
      <c r="UC86" s="22"/>
      <c r="UD86" s="22"/>
      <c r="UE86" s="22"/>
      <c r="UF86" s="22"/>
      <c r="UG86" s="22"/>
      <c r="UH86" s="22"/>
      <c r="UI86" s="22"/>
      <c r="UJ86" s="22"/>
      <c r="UK86" s="22"/>
      <c r="UL86" s="22"/>
      <c r="UM86" s="22"/>
      <c r="UN86" s="22"/>
      <c r="UO86" s="22"/>
      <c r="UP86" s="22"/>
      <c r="UQ86" s="22"/>
      <c r="UR86" s="22"/>
      <c r="US86" s="22"/>
      <c r="UT86" s="22"/>
      <c r="UU86" s="22"/>
      <c r="UV86" s="22"/>
      <c r="UW86" s="22"/>
      <c r="UX86" s="22"/>
      <c r="UY86" s="22"/>
      <c r="UZ86" s="22"/>
      <c r="VA86" s="22"/>
      <c r="VB86" s="22"/>
      <c r="VC86" s="22"/>
      <c r="VD86" s="22"/>
      <c r="VE86" s="22"/>
      <c r="VF86" s="22"/>
      <c r="VG86" s="22"/>
      <c r="VH86" s="22"/>
      <c r="VI86" s="22"/>
      <c r="VJ86" s="22"/>
      <c r="VK86" s="22"/>
      <c r="VL86" s="22"/>
      <c r="VM86" s="22"/>
      <c r="VN86" s="22"/>
      <c r="VO86" s="22"/>
      <c r="VP86" s="22"/>
      <c r="VQ86" s="22"/>
      <c r="VR86" s="22"/>
      <c r="VS86" s="22"/>
      <c r="VT86" s="22"/>
      <c r="VU86" s="22"/>
      <c r="VV86" s="22"/>
      <c r="VW86" s="22"/>
      <c r="VX86" s="22"/>
      <c r="VY86" s="22"/>
      <c r="VZ86" s="22"/>
      <c r="WA86" s="22"/>
      <c r="WB86" s="22"/>
      <c r="WC86" s="22"/>
      <c r="WD86" s="22"/>
      <c r="WE86" s="22"/>
      <c r="WF86" s="22"/>
      <c r="WG86" s="22"/>
      <c r="WH86" s="22"/>
      <c r="WI86" s="22"/>
      <c r="WJ86" s="22"/>
      <c r="WK86" s="22"/>
      <c r="WL86" s="22"/>
      <c r="WM86" s="22"/>
      <c r="WN86" s="22"/>
      <c r="WO86" s="22"/>
      <c r="WP86" s="22"/>
      <c r="WQ86" s="22"/>
      <c r="WR86" s="22"/>
      <c r="WS86" s="22"/>
      <c r="WT86" s="22"/>
      <c r="WU86" s="22"/>
      <c r="WV86" s="22"/>
      <c r="WW86" s="22"/>
      <c r="WX86" s="22"/>
      <c r="WY86" s="22"/>
      <c r="WZ86" s="22"/>
      <c r="XA86" s="22"/>
      <c r="XB86" s="22"/>
      <c r="XC86" s="22"/>
      <c r="XD86" s="22"/>
      <c r="XE86" s="22"/>
      <c r="XF86" s="22"/>
      <c r="XG86" s="22"/>
      <c r="XH86" s="22"/>
      <c r="XI86" s="22"/>
      <c r="XJ86" s="22"/>
      <c r="XK86" s="22"/>
      <c r="XL86" s="22"/>
      <c r="XM86" s="22"/>
      <c r="XN86" s="22"/>
      <c r="XO86" s="22"/>
      <c r="XP86" s="22"/>
      <c r="XQ86" s="22"/>
      <c r="XR86" s="22"/>
      <c r="XS86" s="22"/>
      <c r="XT86" s="22"/>
      <c r="XU86" s="22"/>
      <c r="XV86" s="22"/>
      <c r="XW86" s="22"/>
      <c r="XX86" s="22"/>
      <c r="XY86" s="22"/>
      <c r="XZ86" s="22"/>
      <c r="YA86" s="22"/>
      <c r="YB86" s="22"/>
      <c r="YC86" s="22"/>
      <c r="YD86" s="22"/>
      <c r="YE86" s="22"/>
      <c r="YF86" s="22"/>
      <c r="YG86" s="22"/>
      <c r="YH86" s="22"/>
      <c r="YI86" s="22"/>
      <c r="YJ86" s="22"/>
      <c r="YK86" s="22"/>
      <c r="YL86" s="22"/>
      <c r="YM86" s="22"/>
      <c r="YN86" s="22"/>
      <c r="YO86" s="22"/>
      <c r="YP86" s="22"/>
      <c r="YQ86" s="22"/>
      <c r="YR86" s="22"/>
      <c r="YS86" s="22"/>
      <c r="YT86" s="22"/>
      <c r="YU86" s="22"/>
      <c r="YV86" s="22"/>
      <c r="YW86" s="22"/>
      <c r="YX86" s="22"/>
      <c r="YY86" s="22"/>
      <c r="YZ86" s="22"/>
      <c r="ZA86" s="22"/>
      <c r="ZB86" s="22"/>
      <c r="ZC86" s="22"/>
      <c r="ZD86" s="22"/>
      <c r="ZE86" s="22"/>
      <c r="ZF86" s="22"/>
      <c r="ZG86" s="22"/>
      <c r="ZH86" s="22"/>
      <c r="ZI86" s="22"/>
      <c r="ZJ86" s="22"/>
      <c r="ZK86" s="22"/>
      <c r="ZL86" s="22"/>
      <c r="ZM86" s="22"/>
      <c r="ZN86" s="22"/>
      <c r="ZO86" s="22"/>
      <c r="ZP86" s="22"/>
      <c r="ZQ86" s="22"/>
      <c r="ZR86" s="22"/>
      <c r="ZS86" s="22"/>
      <c r="ZT86" s="22"/>
      <c r="ZU86" s="22"/>
      <c r="ZV86" s="22"/>
      <c r="ZW86" s="22"/>
      <c r="ZX86" s="22"/>
      <c r="ZY86" s="22"/>
      <c r="ZZ86" s="22"/>
      <c r="AAA86" s="22"/>
      <c r="AAB86" s="22"/>
      <c r="AAC86" s="22"/>
      <c r="AAD86" s="22"/>
      <c r="AAE86" s="22"/>
      <c r="AAF86" s="22"/>
      <c r="AAG86" s="22"/>
      <c r="AAH86" s="22"/>
      <c r="AAI86" s="22"/>
      <c r="AAJ86" s="22"/>
      <c r="AAK86" s="22"/>
      <c r="AAL86" s="22"/>
      <c r="AAM86" s="22"/>
      <c r="AAN86" s="22"/>
      <c r="AAO86" s="22"/>
      <c r="AAP86" s="22"/>
      <c r="AAQ86" s="22"/>
      <c r="AAR86" s="22"/>
      <c r="AAS86" s="22"/>
      <c r="AAT86" s="22"/>
      <c r="AAU86" s="22"/>
      <c r="AAV86" s="22"/>
      <c r="AAW86" s="22"/>
      <c r="AAX86" s="22"/>
      <c r="AAY86" s="22"/>
      <c r="AAZ86" s="22"/>
      <c r="ABA86" s="22"/>
      <c r="ABB86" s="22"/>
      <c r="ABC86" s="22"/>
    </row>
    <row r="87" spans="4:731" ht="15" customHeight="1" x14ac:dyDescent="0.3">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c r="FO87" s="22"/>
      <c r="FP87" s="22"/>
      <c r="FQ87" s="22"/>
      <c r="FR87" s="22"/>
      <c r="FS87" s="22"/>
      <c r="FT87" s="22"/>
      <c r="FU87" s="22"/>
      <c r="FV87" s="22"/>
      <c r="FW87" s="22"/>
      <c r="FX87" s="22"/>
      <c r="FY87" s="22"/>
      <c r="FZ87" s="22"/>
      <c r="GA87" s="22"/>
      <c r="GB87" s="22"/>
      <c r="GC87" s="22"/>
      <c r="GD87" s="22"/>
      <c r="GE87" s="22"/>
      <c r="GF87" s="22"/>
      <c r="GG87" s="22"/>
      <c r="GH87" s="22"/>
      <c r="GI87" s="22"/>
      <c r="GJ87" s="22"/>
      <c r="GK87" s="22"/>
      <c r="GL87" s="22"/>
      <c r="GM87" s="22"/>
      <c r="GN87" s="22"/>
      <c r="GO87" s="22"/>
      <c r="GP87" s="22"/>
      <c r="GQ87" s="22"/>
      <c r="GR87" s="22"/>
      <c r="GS87" s="22"/>
      <c r="GT87" s="22"/>
      <c r="GU87" s="22"/>
      <c r="GV87" s="22"/>
      <c r="GW87" s="22"/>
      <c r="GX87" s="22"/>
      <c r="GY87" s="22"/>
      <c r="GZ87" s="22"/>
      <c r="HA87" s="22"/>
      <c r="HB87" s="22"/>
      <c r="HC87" s="22"/>
      <c r="HD87" s="22"/>
      <c r="HE87" s="22"/>
      <c r="HF87" s="22"/>
      <c r="HG87" s="22"/>
      <c r="HH87" s="22"/>
      <c r="HI87" s="22"/>
      <c r="HJ87" s="22"/>
      <c r="HK87" s="22"/>
      <c r="HL87" s="22"/>
      <c r="HM87" s="22"/>
      <c r="HN87" s="22"/>
      <c r="HO87" s="22"/>
      <c r="HP87" s="22"/>
      <c r="HQ87" s="22"/>
      <c r="HR87" s="22"/>
      <c r="HS87" s="22"/>
      <c r="HT87" s="22"/>
      <c r="HU87" s="22"/>
      <c r="HV87" s="22"/>
      <c r="HW87" s="22"/>
      <c r="HX87" s="22"/>
      <c r="HY87" s="22"/>
      <c r="HZ87" s="22"/>
      <c r="IA87" s="22"/>
      <c r="IB87" s="22"/>
      <c r="IC87" s="22"/>
      <c r="ID87" s="22"/>
      <c r="IE87" s="22"/>
      <c r="IF87" s="22"/>
      <c r="IG87" s="22"/>
      <c r="IH87" s="22"/>
      <c r="II87" s="22"/>
      <c r="IJ87" s="22"/>
      <c r="IK87" s="22"/>
      <c r="IL87" s="22"/>
      <c r="IM87" s="22"/>
      <c r="IN87" s="22"/>
      <c r="IO87" s="22"/>
      <c r="IP87" s="22"/>
      <c r="IQ87" s="22"/>
      <c r="IR87" s="22"/>
      <c r="IS87" s="22"/>
      <c r="IT87" s="22"/>
      <c r="IU87" s="22"/>
      <c r="IV87" s="22"/>
      <c r="IW87" s="22"/>
      <c r="IX87" s="22"/>
      <c r="IY87" s="22"/>
      <c r="IZ87" s="22"/>
      <c r="JA87" s="22"/>
      <c r="JB87" s="22"/>
      <c r="JC87" s="22"/>
      <c r="JD87" s="22"/>
      <c r="JE87" s="22"/>
      <c r="JJ87" s="22"/>
      <c r="JK87" s="22"/>
      <c r="JL87" s="22"/>
      <c r="JM87" s="22"/>
      <c r="JN87" s="22"/>
      <c r="JO87" s="22"/>
      <c r="JP87" s="22"/>
      <c r="JQ87" s="22"/>
      <c r="JR87" s="22"/>
      <c r="JS87" s="22"/>
      <c r="JT87" s="22"/>
      <c r="JU87" s="22"/>
      <c r="JV87" s="22"/>
      <c r="JW87" s="22"/>
      <c r="JX87" s="22"/>
      <c r="JY87" s="22"/>
      <c r="JZ87" s="22"/>
      <c r="KA87" s="22"/>
      <c r="KB87" s="22"/>
      <c r="KC87" s="22"/>
      <c r="KD87" s="22"/>
      <c r="KE87" s="22"/>
      <c r="KF87" s="22"/>
      <c r="KG87" s="22"/>
      <c r="KH87" s="22"/>
      <c r="KI87" s="22"/>
      <c r="KJ87" s="22"/>
      <c r="KK87" s="22"/>
      <c r="KL87" s="22"/>
      <c r="KM87" s="22"/>
      <c r="KN87" s="22"/>
      <c r="KO87" s="22"/>
      <c r="KP87" s="22"/>
      <c r="KQ87" s="22"/>
      <c r="KR87" s="22"/>
      <c r="KS87" s="22"/>
      <c r="KT87" s="22"/>
      <c r="KU87" s="22"/>
      <c r="KV87" s="22"/>
      <c r="KW87" s="22"/>
      <c r="KX87" s="22"/>
      <c r="KY87" s="22"/>
      <c r="KZ87" s="22"/>
      <c r="LA87" s="22"/>
      <c r="LB87" s="22"/>
      <c r="LC87" s="22"/>
      <c r="LD87" s="22"/>
      <c r="LE87" s="22"/>
      <c r="LF87" s="22"/>
      <c r="LG87" s="22"/>
      <c r="LH87" s="22"/>
      <c r="LI87" s="22"/>
      <c r="LJ87" s="22"/>
      <c r="LK87" s="22"/>
      <c r="LL87" s="22"/>
      <c r="LM87" s="22"/>
      <c r="LN87" s="22"/>
      <c r="LO87" s="22"/>
      <c r="LP87" s="22"/>
      <c r="LQ87" s="22"/>
      <c r="LR87" s="22"/>
      <c r="LS87" s="22"/>
      <c r="LT87" s="22"/>
      <c r="LU87" s="22"/>
      <c r="LV87" s="22"/>
      <c r="LW87" s="22"/>
      <c r="LX87" s="22"/>
      <c r="LY87" s="22"/>
      <c r="LZ87" s="22"/>
      <c r="MA87" s="22"/>
      <c r="MB87" s="22"/>
      <c r="MC87" s="22"/>
      <c r="MD87" s="22"/>
      <c r="ME87" s="22"/>
      <c r="MF87" s="22"/>
      <c r="MG87" s="22"/>
      <c r="MH87" s="22"/>
      <c r="MI87" s="22"/>
      <c r="MJ87" s="22"/>
      <c r="MK87" s="22"/>
      <c r="ML87" s="22"/>
      <c r="MM87" s="22"/>
      <c r="MN87" s="22"/>
      <c r="MO87" s="22"/>
      <c r="MP87" s="22"/>
      <c r="MQ87" s="22"/>
      <c r="MR87" s="22"/>
      <c r="MS87" s="22"/>
      <c r="MT87" s="22"/>
      <c r="MU87" s="22"/>
      <c r="MV87" s="22"/>
      <c r="MW87" s="22"/>
      <c r="MX87" s="22"/>
      <c r="MY87" s="22"/>
      <c r="MZ87" s="22"/>
      <c r="NA87" s="22"/>
      <c r="NB87" s="22"/>
      <c r="NC87" s="22"/>
      <c r="ND87" s="22"/>
      <c r="NE87" s="22"/>
      <c r="NF87" s="22"/>
      <c r="NG87" s="22"/>
      <c r="NH87" s="22"/>
      <c r="NI87" s="22"/>
      <c r="NJ87" s="22"/>
      <c r="NK87" s="22"/>
      <c r="NL87" s="22"/>
      <c r="NM87" s="22"/>
      <c r="NN87" s="22"/>
      <c r="NO87" s="22"/>
      <c r="NP87" s="22"/>
      <c r="NQ87" s="22"/>
      <c r="NR87" s="22"/>
      <c r="NS87" s="22"/>
      <c r="NT87" s="22"/>
      <c r="NU87" s="22"/>
      <c r="NV87" s="22"/>
      <c r="NW87" s="22"/>
      <c r="NX87" s="22"/>
      <c r="NY87" s="22"/>
      <c r="NZ87" s="22"/>
      <c r="OA87" s="22"/>
      <c r="OB87" s="22"/>
      <c r="OC87" s="22"/>
      <c r="OD87" s="22"/>
      <c r="OE87" s="22"/>
      <c r="OF87" s="22"/>
      <c r="OG87" s="22"/>
      <c r="OH87" s="22"/>
      <c r="OI87" s="22"/>
      <c r="OJ87" s="22"/>
      <c r="OK87" s="22"/>
      <c r="OL87" s="22"/>
      <c r="OM87" s="22"/>
      <c r="ON87" s="22"/>
      <c r="OO87" s="22"/>
      <c r="OP87" s="22"/>
      <c r="OQ87" s="22"/>
      <c r="OR87" s="22"/>
      <c r="OS87" s="22"/>
      <c r="OT87" s="22"/>
      <c r="OU87" s="22"/>
      <c r="OV87" s="22"/>
      <c r="OW87" s="22"/>
      <c r="OX87" s="22"/>
      <c r="OY87" s="22"/>
      <c r="OZ87" s="22"/>
      <c r="PA87" s="22"/>
      <c r="PB87" s="22"/>
      <c r="PC87" s="22"/>
      <c r="PD87" s="22"/>
      <c r="PE87" s="22"/>
      <c r="PF87" s="22"/>
      <c r="PG87" s="22"/>
      <c r="PH87" s="22"/>
      <c r="PI87" s="22"/>
      <c r="PJ87" s="22"/>
      <c r="PK87" s="22"/>
      <c r="PL87" s="22"/>
      <c r="PM87" s="22"/>
      <c r="PN87" s="22"/>
      <c r="PO87" s="22"/>
      <c r="PP87" s="22"/>
      <c r="PQ87" s="22"/>
      <c r="PR87" s="22"/>
      <c r="PS87" s="22"/>
      <c r="PT87" s="22"/>
      <c r="PU87" s="22"/>
      <c r="PV87" s="22"/>
      <c r="PW87" s="22"/>
      <c r="PX87" s="22"/>
      <c r="PY87" s="22"/>
      <c r="PZ87" s="22"/>
      <c r="QA87" s="22"/>
      <c r="QB87" s="22"/>
      <c r="QC87" s="22"/>
      <c r="QD87" s="22"/>
      <c r="QE87" s="22"/>
      <c r="QF87" s="22"/>
      <c r="QG87" s="22"/>
      <c r="QH87" s="22"/>
      <c r="QI87" s="22"/>
      <c r="QJ87" s="22"/>
      <c r="QK87" s="22"/>
      <c r="QL87" s="22"/>
      <c r="QM87" s="22"/>
      <c r="QN87" s="22"/>
      <c r="QO87" s="22"/>
      <c r="QP87" s="22"/>
      <c r="QQ87" s="22"/>
      <c r="QR87" s="22"/>
      <c r="QS87" s="22"/>
      <c r="QT87" s="22"/>
      <c r="QU87" s="22"/>
      <c r="QV87" s="22"/>
      <c r="QW87" s="22"/>
      <c r="QX87" s="22"/>
      <c r="QY87" s="22"/>
      <c r="QZ87" s="22"/>
      <c r="RA87" s="22"/>
      <c r="RB87" s="22"/>
      <c r="RC87" s="22"/>
      <c r="RD87" s="22"/>
      <c r="RE87" s="22"/>
      <c r="RF87" s="22"/>
      <c r="RG87" s="22"/>
      <c r="RH87" s="22"/>
      <c r="RI87" s="22"/>
      <c r="RJ87" s="22"/>
      <c r="RK87" s="22"/>
      <c r="RL87" s="22"/>
      <c r="RM87" s="22"/>
      <c r="RN87" s="22"/>
      <c r="RO87" s="22"/>
      <c r="RP87" s="22"/>
      <c r="RQ87" s="22"/>
      <c r="RR87" s="22"/>
      <c r="RS87" s="22"/>
      <c r="RT87" s="22"/>
      <c r="RU87" s="22"/>
      <c r="RV87" s="22"/>
      <c r="RW87" s="22"/>
      <c r="RX87" s="22"/>
      <c r="RY87" s="22"/>
      <c r="RZ87" s="22"/>
      <c r="SA87" s="22"/>
      <c r="SB87" s="22"/>
      <c r="SC87" s="22"/>
      <c r="SD87" s="22"/>
      <c r="SE87" s="22"/>
      <c r="SF87" s="22"/>
      <c r="SG87" s="22"/>
      <c r="SH87" s="22"/>
      <c r="SI87" s="22"/>
      <c r="SJ87" s="22"/>
      <c r="SK87" s="22"/>
      <c r="SL87" s="22"/>
      <c r="SM87" s="22"/>
      <c r="SN87" s="22"/>
      <c r="SO87" s="22"/>
      <c r="SP87" s="22"/>
      <c r="SQ87" s="22"/>
      <c r="SR87" s="22"/>
      <c r="SS87" s="22"/>
      <c r="ST87" s="22"/>
      <c r="SU87" s="22"/>
      <c r="SV87" s="22"/>
      <c r="SW87" s="22"/>
      <c r="SX87" s="22"/>
      <c r="SY87" s="22"/>
      <c r="SZ87" s="22"/>
      <c r="TA87" s="22"/>
      <c r="TB87" s="22"/>
      <c r="TC87" s="22"/>
      <c r="TD87" s="22"/>
      <c r="TE87" s="22"/>
      <c r="TF87" s="22"/>
      <c r="TG87" s="22"/>
      <c r="TH87" s="22"/>
      <c r="TI87" s="22"/>
      <c r="TJ87" s="22"/>
      <c r="TK87" s="22"/>
      <c r="TL87" s="22"/>
      <c r="TM87" s="22"/>
      <c r="TN87" s="22"/>
      <c r="TO87" s="22"/>
      <c r="TP87" s="22"/>
      <c r="TQ87" s="22"/>
      <c r="TR87" s="22"/>
      <c r="TS87" s="22"/>
      <c r="TT87" s="22"/>
      <c r="TU87" s="22"/>
      <c r="TV87" s="22"/>
      <c r="TW87" s="22"/>
      <c r="TX87" s="22"/>
      <c r="TY87" s="22"/>
      <c r="TZ87" s="22"/>
      <c r="UA87" s="22"/>
      <c r="UB87" s="22"/>
      <c r="UC87" s="22"/>
      <c r="UD87" s="22"/>
      <c r="UE87" s="22"/>
      <c r="UF87" s="22"/>
      <c r="UG87" s="22"/>
      <c r="UH87" s="22"/>
      <c r="UI87" s="22"/>
      <c r="UJ87" s="22"/>
      <c r="UK87" s="22"/>
      <c r="UL87" s="22"/>
      <c r="UM87" s="22"/>
      <c r="UN87" s="22"/>
      <c r="UO87" s="22"/>
      <c r="UP87" s="22"/>
      <c r="UQ87" s="22"/>
      <c r="UR87" s="22"/>
      <c r="US87" s="22"/>
      <c r="UT87" s="22"/>
      <c r="UU87" s="22"/>
      <c r="UV87" s="22"/>
      <c r="UW87" s="22"/>
      <c r="UX87" s="22"/>
      <c r="UY87" s="22"/>
      <c r="UZ87" s="22"/>
      <c r="VA87" s="22"/>
      <c r="VB87" s="22"/>
      <c r="VC87" s="22"/>
      <c r="VD87" s="22"/>
      <c r="VE87" s="22"/>
      <c r="VF87" s="22"/>
      <c r="VG87" s="22"/>
      <c r="VH87" s="22"/>
      <c r="VI87" s="22"/>
      <c r="VJ87" s="22"/>
      <c r="VK87" s="22"/>
      <c r="VL87" s="22"/>
      <c r="VM87" s="22"/>
      <c r="VN87" s="22"/>
      <c r="VO87" s="22"/>
      <c r="VP87" s="22"/>
      <c r="VQ87" s="22"/>
      <c r="VR87" s="22"/>
      <c r="VS87" s="22"/>
      <c r="VT87" s="22"/>
      <c r="VU87" s="22"/>
      <c r="VV87" s="22"/>
      <c r="VW87" s="22"/>
      <c r="VX87" s="22"/>
      <c r="VY87" s="22"/>
      <c r="VZ87" s="22"/>
      <c r="WA87" s="22"/>
      <c r="WB87" s="22"/>
      <c r="WC87" s="22"/>
      <c r="WD87" s="22"/>
      <c r="WE87" s="22"/>
      <c r="WF87" s="22"/>
      <c r="WG87" s="22"/>
      <c r="WH87" s="22"/>
      <c r="WI87" s="22"/>
      <c r="WJ87" s="22"/>
      <c r="WK87" s="22"/>
      <c r="WL87" s="22"/>
      <c r="WM87" s="22"/>
      <c r="WN87" s="22"/>
      <c r="WO87" s="22"/>
      <c r="WP87" s="22"/>
      <c r="WQ87" s="22"/>
      <c r="WR87" s="22"/>
      <c r="WS87" s="22"/>
      <c r="WT87" s="22"/>
      <c r="WU87" s="22"/>
      <c r="WV87" s="22"/>
      <c r="WW87" s="22"/>
      <c r="WX87" s="22"/>
      <c r="WY87" s="22"/>
      <c r="WZ87" s="22"/>
      <c r="XA87" s="22"/>
      <c r="XB87" s="22"/>
      <c r="XC87" s="22"/>
      <c r="XD87" s="22"/>
      <c r="XE87" s="22"/>
      <c r="XF87" s="22"/>
      <c r="XG87" s="22"/>
      <c r="XH87" s="22"/>
      <c r="XI87" s="22"/>
      <c r="XJ87" s="22"/>
      <c r="XK87" s="22"/>
      <c r="XL87" s="22"/>
      <c r="XM87" s="22"/>
      <c r="XN87" s="22"/>
      <c r="XO87" s="22"/>
      <c r="XP87" s="22"/>
      <c r="XQ87" s="22"/>
      <c r="XR87" s="22"/>
      <c r="XS87" s="22"/>
      <c r="XT87" s="22"/>
      <c r="XU87" s="22"/>
      <c r="XV87" s="22"/>
      <c r="XW87" s="22"/>
      <c r="XX87" s="22"/>
      <c r="XY87" s="22"/>
      <c r="XZ87" s="22"/>
      <c r="YA87" s="22"/>
      <c r="YB87" s="22"/>
      <c r="YC87" s="22"/>
      <c r="YD87" s="22"/>
      <c r="YE87" s="22"/>
      <c r="YF87" s="22"/>
      <c r="YG87" s="22"/>
      <c r="YH87" s="22"/>
      <c r="YI87" s="22"/>
      <c r="YJ87" s="22"/>
      <c r="YK87" s="22"/>
      <c r="YL87" s="22"/>
      <c r="YM87" s="22"/>
      <c r="YN87" s="22"/>
      <c r="YO87" s="22"/>
      <c r="YP87" s="22"/>
      <c r="YQ87" s="22"/>
      <c r="YR87" s="22"/>
      <c r="YS87" s="22"/>
      <c r="YT87" s="22"/>
      <c r="YU87" s="22"/>
      <c r="YV87" s="22"/>
      <c r="YW87" s="22"/>
      <c r="YX87" s="22"/>
      <c r="YY87" s="22"/>
      <c r="YZ87" s="22"/>
      <c r="ZA87" s="22"/>
      <c r="ZB87" s="22"/>
      <c r="ZC87" s="22"/>
      <c r="ZD87" s="22"/>
      <c r="ZE87" s="22"/>
      <c r="ZF87" s="22"/>
      <c r="ZG87" s="22"/>
      <c r="ZH87" s="22"/>
      <c r="ZI87" s="22"/>
      <c r="ZJ87" s="22"/>
      <c r="ZK87" s="22"/>
      <c r="ZL87" s="22"/>
      <c r="ZM87" s="22"/>
      <c r="ZN87" s="22"/>
      <c r="ZO87" s="22"/>
      <c r="ZP87" s="22"/>
      <c r="ZQ87" s="22"/>
      <c r="ZR87" s="22"/>
      <c r="ZS87" s="22"/>
      <c r="ZT87" s="22"/>
      <c r="ZU87" s="22"/>
      <c r="ZV87" s="22"/>
      <c r="ZW87" s="22"/>
      <c r="ZX87" s="22"/>
      <c r="ZY87" s="22"/>
      <c r="ZZ87" s="22"/>
      <c r="AAA87" s="22"/>
      <c r="AAB87" s="22"/>
      <c r="AAC87" s="22"/>
      <c r="AAD87" s="22"/>
      <c r="AAE87" s="22"/>
      <c r="AAF87" s="22"/>
      <c r="AAG87" s="22"/>
      <c r="AAH87" s="22"/>
      <c r="AAI87" s="22"/>
      <c r="AAJ87" s="22"/>
      <c r="AAK87" s="22"/>
      <c r="AAL87" s="22"/>
      <c r="AAM87" s="22"/>
      <c r="AAN87" s="22"/>
      <c r="AAO87" s="22"/>
      <c r="AAP87" s="22"/>
      <c r="AAQ87" s="22"/>
      <c r="AAR87" s="22"/>
      <c r="AAS87" s="22"/>
      <c r="AAT87" s="22"/>
      <c r="AAU87" s="22"/>
      <c r="AAV87" s="22"/>
      <c r="AAW87" s="22"/>
      <c r="AAX87" s="22"/>
      <c r="AAY87" s="22"/>
      <c r="AAZ87" s="22"/>
      <c r="ABA87" s="22"/>
      <c r="ABB87" s="22"/>
      <c r="ABC87" s="22"/>
    </row>
    <row r="88" spans="4:731" ht="15" customHeight="1" x14ac:dyDescent="0.3">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22"/>
      <c r="GQ88" s="22"/>
      <c r="GR88" s="22"/>
      <c r="GS88" s="22"/>
      <c r="GT88" s="22"/>
      <c r="GU88" s="22"/>
      <c r="GV88" s="22"/>
      <c r="GW88" s="22"/>
      <c r="GX88" s="22"/>
      <c r="GY88" s="22"/>
      <c r="GZ88" s="22"/>
      <c r="HA88" s="22"/>
      <c r="HB88" s="22"/>
      <c r="HC88" s="22"/>
      <c r="HD88" s="22"/>
      <c r="HE88" s="22"/>
      <c r="HF88" s="22"/>
      <c r="HG88" s="22"/>
      <c r="HH88" s="22"/>
      <c r="HI88" s="22"/>
      <c r="HJ88" s="22"/>
      <c r="HK88" s="22"/>
      <c r="HL88" s="22"/>
      <c r="HM88" s="22"/>
      <c r="HN88" s="22"/>
      <c r="HO88" s="22"/>
      <c r="HP88" s="22"/>
      <c r="HQ88" s="22"/>
      <c r="HR88" s="22"/>
      <c r="HS88" s="22"/>
      <c r="HT88" s="22"/>
      <c r="HU88" s="22"/>
      <c r="HV88" s="22"/>
      <c r="HW88" s="22"/>
      <c r="HX88" s="22"/>
      <c r="HY88" s="22"/>
      <c r="HZ88" s="22"/>
      <c r="IA88" s="22"/>
      <c r="IB88" s="22"/>
      <c r="IC88" s="22"/>
      <c r="ID88" s="22"/>
      <c r="IE88" s="22"/>
      <c r="IF88" s="22"/>
      <c r="IG88" s="22"/>
      <c r="IH88" s="22"/>
      <c r="II88" s="22"/>
      <c r="IJ88" s="22"/>
      <c r="IK88" s="22"/>
      <c r="IL88" s="22"/>
      <c r="IM88" s="22"/>
      <c r="IN88" s="22"/>
      <c r="IO88" s="22"/>
      <c r="IP88" s="22"/>
      <c r="IQ88" s="22"/>
      <c r="IR88" s="22"/>
      <c r="IS88" s="22"/>
      <c r="IT88" s="22"/>
      <c r="IU88" s="22"/>
      <c r="IV88" s="22"/>
      <c r="IW88" s="22"/>
      <c r="IX88" s="22"/>
      <c r="IY88" s="22"/>
      <c r="IZ88" s="22"/>
      <c r="JA88" s="22"/>
      <c r="JB88" s="22"/>
      <c r="JC88" s="22"/>
      <c r="JD88" s="22"/>
      <c r="JE88" s="22"/>
      <c r="JJ88" s="22"/>
      <c r="JK88" s="22"/>
      <c r="JL88" s="22"/>
      <c r="JM88" s="22"/>
      <c r="JN88" s="22"/>
      <c r="JO88" s="22"/>
      <c r="JP88" s="22"/>
      <c r="JQ88" s="22"/>
      <c r="JR88" s="22"/>
      <c r="JS88" s="22"/>
      <c r="JT88" s="22"/>
      <c r="JU88" s="22"/>
      <c r="JV88" s="22"/>
      <c r="JW88" s="22"/>
      <c r="JX88" s="22"/>
      <c r="JY88" s="22"/>
      <c r="JZ88" s="22"/>
      <c r="KA88" s="22"/>
      <c r="KB88" s="22"/>
      <c r="KC88" s="22"/>
      <c r="KD88" s="22"/>
      <c r="KE88" s="22"/>
      <c r="KF88" s="22"/>
      <c r="KG88" s="22"/>
      <c r="KH88" s="22"/>
      <c r="KI88" s="22"/>
      <c r="KJ88" s="22"/>
      <c r="KK88" s="22"/>
      <c r="KL88" s="22"/>
      <c r="KM88" s="22"/>
      <c r="KN88" s="22"/>
      <c r="KO88" s="22"/>
      <c r="KP88" s="22"/>
      <c r="KQ88" s="22"/>
      <c r="KR88" s="22"/>
      <c r="KS88" s="22"/>
      <c r="KT88" s="22"/>
      <c r="KU88" s="22"/>
      <c r="KV88" s="22"/>
      <c r="KW88" s="22"/>
      <c r="KX88" s="22"/>
      <c r="KY88" s="22"/>
      <c r="KZ88" s="22"/>
      <c r="LA88" s="22"/>
      <c r="LB88" s="22"/>
      <c r="LC88" s="22"/>
      <c r="LD88" s="22"/>
      <c r="LE88" s="22"/>
      <c r="LF88" s="22"/>
      <c r="LG88" s="22"/>
      <c r="LH88" s="22"/>
      <c r="LI88" s="22"/>
      <c r="LJ88" s="22"/>
      <c r="LK88" s="22"/>
      <c r="LL88" s="22"/>
      <c r="LM88" s="22"/>
      <c r="LN88" s="22"/>
      <c r="LO88" s="22"/>
      <c r="LP88" s="22"/>
      <c r="LQ88" s="22"/>
      <c r="LR88" s="22"/>
      <c r="LS88" s="22"/>
      <c r="LT88" s="22"/>
      <c r="LU88" s="22"/>
      <c r="LV88" s="22"/>
      <c r="LW88" s="22"/>
      <c r="LX88" s="22"/>
      <c r="LY88" s="22"/>
      <c r="LZ88" s="22"/>
      <c r="MA88" s="22"/>
      <c r="MB88" s="22"/>
      <c r="MC88" s="22"/>
      <c r="MD88" s="22"/>
      <c r="ME88" s="22"/>
      <c r="MF88" s="22"/>
      <c r="MG88" s="22"/>
      <c r="MH88" s="22"/>
      <c r="MI88" s="22"/>
      <c r="MJ88" s="22"/>
      <c r="MK88" s="22"/>
      <c r="ML88" s="22"/>
      <c r="MM88" s="22"/>
      <c r="MN88" s="22"/>
      <c r="MO88" s="22"/>
      <c r="MP88" s="22"/>
      <c r="MQ88" s="22"/>
      <c r="MR88" s="22"/>
      <c r="MS88" s="22"/>
      <c r="MT88" s="22"/>
      <c r="MU88" s="22"/>
      <c r="MV88" s="22"/>
      <c r="MW88" s="22"/>
      <c r="MX88" s="22"/>
      <c r="MY88" s="22"/>
      <c r="MZ88" s="22"/>
      <c r="NA88" s="22"/>
      <c r="NB88" s="22"/>
      <c r="NC88" s="22"/>
      <c r="ND88" s="22"/>
      <c r="NE88" s="22"/>
      <c r="NF88" s="22"/>
      <c r="NG88" s="22"/>
      <c r="NH88" s="22"/>
      <c r="NI88" s="22"/>
      <c r="NJ88" s="22"/>
      <c r="NK88" s="22"/>
      <c r="NL88" s="22"/>
      <c r="NM88" s="22"/>
      <c r="NN88" s="22"/>
      <c r="NO88" s="22"/>
      <c r="NP88" s="22"/>
      <c r="NQ88" s="22"/>
      <c r="NR88" s="22"/>
      <c r="NS88" s="22"/>
      <c r="NT88" s="22"/>
      <c r="NU88" s="22"/>
      <c r="NV88" s="22"/>
      <c r="NW88" s="22"/>
      <c r="NX88" s="22"/>
      <c r="NY88" s="22"/>
      <c r="NZ88" s="22"/>
      <c r="OA88" s="22"/>
      <c r="OB88" s="22"/>
      <c r="OC88" s="22"/>
      <c r="OD88" s="22"/>
      <c r="OE88" s="22"/>
      <c r="OF88" s="22"/>
      <c r="OG88" s="22"/>
      <c r="OH88" s="22"/>
      <c r="OI88" s="22"/>
      <c r="OJ88" s="22"/>
      <c r="OK88" s="22"/>
      <c r="OL88" s="22"/>
      <c r="OM88" s="22"/>
      <c r="ON88" s="22"/>
      <c r="OO88" s="22"/>
      <c r="OP88" s="22"/>
      <c r="OQ88" s="22"/>
      <c r="OR88" s="22"/>
      <c r="OS88" s="22"/>
      <c r="OT88" s="22"/>
      <c r="OU88" s="22"/>
      <c r="OV88" s="22"/>
      <c r="OW88" s="22"/>
      <c r="OX88" s="22"/>
      <c r="OY88" s="22"/>
      <c r="OZ88" s="22"/>
      <c r="PA88" s="22"/>
      <c r="PB88" s="22"/>
      <c r="PC88" s="22"/>
      <c r="PD88" s="22"/>
      <c r="PE88" s="22"/>
      <c r="PF88" s="22"/>
      <c r="PG88" s="22"/>
      <c r="PH88" s="22"/>
      <c r="PI88" s="22"/>
      <c r="PJ88" s="22"/>
      <c r="PK88" s="22"/>
      <c r="PL88" s="22"/>
      <c r="PM88" s="22"/>
      <c r="PN88" s="22"/>
      <c r="PO88" s="22"/>
      <c r="PP88" s="22"/>
      <c r="PQ88" s="22"/>
      <c r="PR88" s="22"/>
      <c r="PS88" s="22"/>
      <c r="PT88" s="22"/>
      <c r="PU88" s="22"/>
      <c r="PV88" s="22"/>
      <c r="PW88" s="22"/>
      <c r="PX88" s="22"/>
      <c r="PY88" s="22"/>
      <c r="PZ88" s="22"/>
      <c r="QA88" s="22"/>
      <c r="QB88" s="22"/>
      <c r="QC88" s="22"/>
      <c r="QD88" s="22"/>
      <c r="QE88" s="22"/>
      <c r="QF88" s="22"/>
      <c r="QG88" s="22"/>
      <c r="QH88" s="22"/>
      <c r="QI88" s="22"/>
      <c r="QJ88" s="22"/>
      <c r="QK88" s="22"/>
      <c r="QL88" s="22"/>
      <c r="QM88" s="22"/>
      <c r="QN88" s="22"/>
      <c r="QO88" s="22"/>
      <c r="QP88" s="22"/>
      <c r="QQ88" s="22"/>
      <c r="QR88" s="22"/>
      <c r="QS88" s="22"/>
      <c r="QT88" s="22"/>
      <c r="QU88" s="22"/>
      <c r="QV88" s="22"/>
      <c r="QW88" s="22"/>
      <c r="QX88" s="22"/>
      <c r="QY88" s="22"/>
      <c r="QZ88" s="22"/>
      <c r="RA88" s="22"/>
      <c r="RB88" s="22"/>
      <c r="RC88" s="22"/>
      <c r="RD88" s="22"/>
      <c r="RE88" s="22"/>
      <c r="RF88" s="22"/>
      <c r="RG88" s="22"/>
      <c r="RH88" s="22"/>
      <c r="RI88" s="22"/>
      <c r="RJ88" s="22"/>
      <c r="RK88" s="22"/>
      <c r="RL88" s="22"/>
      <c r="RM88" s="22"/>
      <c r="RN88" s="22"/>
      <c r="RO88" s="22"/>
      <c r="RP88" s="22"/>
      <c r="RQ88" s="22"/>
      <c r="RR88" s="22"/>
      <c r="RS88" s="22"/>
      <c r="RT88" s="22"/>
      <c r="RU88" s="22"/>
      <c r="RV88" s="22"/>
      <c r="RW88" s="22"/>
      <c r="RX88" s="22"/>
      <c r="RY88" s="22"/>
      <c r="RZ88" s="22"/>
      <c r="SA88" s="22"/>
      <c r="SB88" s="22"/>
      <c r="SC88" s="22"/>
      <c r="SD88" s="22"/>
      <c r="SE88" s="22"/>
      <c r="SF88" s="22"/>
      <c r="SG88" s="22"/>
      <c r="SH88" s="22"/>
      <c r="SI88" s="22"/>
      <c r="SJ88" s="22"/>
      <c r="SK88" s="22"/>
      <c r="SL88" s="22"/>
      <c r="SM88" s="22"/>
      <c r="SN88" s="22"/>
      <c r="SO88" s="22"/>
      <c r="SP88" s="22"/>
      <c r="SQ88" s="22"/>
      <c r="SR88" s="22"/>
      <c r="SS88" s="22"/>
      <c r="ST88" s="22"/>
      <c r="SU88" s="22"/>
      <c r="SV88" s="22"/>
      <c r="SW88" s="22"/>
      <c r="SX88" s="22"/>
      <c r="SY88" s="22"/>
      <c r="SZ88" s="22"/>
      <c r="TA88" s="22"/>
      <c r="TB88" s="22"/>
      <c r="TC88" s="22"/>
      <c r="TD88" s="22"/>
      <c r="TE88" s="22"/>
      <c r="TF88" s="22"/>
      <c r="TG88" s="22"/>
      <c r="TH88" s="22"/>
      <c r="TI88" s="22"/>
      <c r="TJ88" s="22"/>
      <c r="TK88" s="22"/>
      <c r="TL88" s="22"/>
      <c r="TM88" s="22"/>
      <c r="TN88" s="22"/>
      <c r="TO88" s="22"/>
      <c r="TP88" s="22"/>
      <c r="TQ88" s="22"/>
      <c r="TR88" s="22"/>
      <c r="TS88" s="22"/>
      <c r="TT88" s="22"/>
      <c r="TU88" s="22"/>
      <c r="TV88" s="22"/>
      <c r="TW88" s="22"/>
      <c r="TX88" s="22"/>
      <c r="TY88" s="22"/>
      <c r="TZ88" s="22"/>
      <c r="UA88" s="22"/>
      <c r="UB88" s="22"/>
      <c r="UC88" s="22"/>
      <c r="UD88" s="22"/>
      <c r="UE88" s="22"/>
      <c r="UF88" s="22"/>
      <c r="UG88" s="22"/>
      <c r="UH88" s="22"/>
      <c r="UI88" s="22"/>
      <c r="UJ88" s="22"/>
      <c r="UK88" s="22"/>
      <c r="UL88" s="22"/>
      <c r="UM88" s="22"/>
      <c r="UN88" s="22"/>
      <c r="UO88" s="22"/>
      <c r="UP88" s="22"/>
      <c r="UQ88" s="22"/>
      <c r="UR88" s="22"/>
      <c r="US88" s="22"/>
      <c r="UT88" s="22"/>
      <c r="UU88" s="22"/>
      <c r="UV88" s="22"/>
      <c r="UW88" s="22"/>
      <c r="UX88" s="22"/>
      <c r="UY88" s="22"/>
      <c r="UZ88" s="22"/>
      <c r="VA88" s="22"/>
      <c r="VB88" s="22"/>
      <c r="VC88" s="22"/>
      <c r="VD88" s="22"/>
      <c r="VE88" s="22"/>
      <c r="VF88" s="22"/>
      <c r="VG88" s="22"/>
      <c r="VH88" s="22"/>
      <c r="VI88" s="22"/>
      <c r="VJ88" s="22"/>
      <c r="VK88" s="22"/>
      <c r="VL88" s="22"/>
      <c r="VM88" s="22"/>
      <c r="VN88" s="22"/>
      <c r="VO88" s="22"/>
      <c r="VP88" s="22"/>
      <c r="VQ88" s="22"/>
      <c r="VR88" s="22"/>
      <c r="VS88" s="22"/>
      <c r="VT88" s="22"/>
      <c r="VU88" s="22"/>
      <c r="VV88" s="22"/>
      <c r="VW88" s="22"/>
      <c r="VX88" s="22"/>
      <c r="VY88" s="22"/>
      <c r="VZ88" s="22"/>
      <c r="WA88" s="22"/>
      <c r="WB88" s="22"/>
      <c r="WC88" s="22"/>
      <c r="WD88" s="22"/>
      <c r="WE88" s="22"/>
      <c r="WF88" s="22"/>
      <c r="WG88" s="22"/>
      <c r="WH88" s="22"/>
      <c r="WI88" s="22"/>
      <c r="WJ88" s="22"/>
      <c r="WK88" s="22"/>
      <c r="WL88" s="22"/>
      <c r="WM88" s="22"/>
      <c r="WN88" s="22"/>
      <c r="WO88" s="22"/>
      <c r="WP88" s="22"/>
      <c r="WQ88" s="22"/>
      <c r="WR88" s="22"/>
      <c r="WS88" s="22"/>
      <c r="WT88" s="22"/>
      <c r="WU88" s="22"/>
      <c r="WV88" s="22"/>
      <c r="WW88" s="22"/>
      <c r="WX88" s="22"/>
      <c r="WY88" s="22"/>
      <c r="WZ88" s="22"/>
      <c r="XA88" s="22"/>
      <c r="XB88" s="22"/>
      <c r="XC88" s="22"/>
      <c r="XD88" s="22"/>
      <c r="XE88" s="22"/>
      <c r="XF88" s="22"/>
      <c r="XG88" s="22"/>
      <c r="XH88" s="22"/>
      <c r="XI88" s="22"/>
      <c r="XJ88" s="22"/>
      <c r="XK88" s="22"/>
      <c r="XL88" s="22"/>
      <c r="XM88" s="22"/>
      <c r="XN88" s="22"/>
      <c r="XO88" s="22"/>
      <c r="XP88" s="22"/>
      <c r="XQ88" s="22"/>
      <c r="XR88" s="22"/>
      <c r="XS88" s="22"/>
      <c r="XT88" s="22"/>
      <c r="XU88" s="22"/>
      <c r="XV88" s="22"/>
      <c r="XW88" s="22"/>
      <c r="XX88" s="22"/>
      <c r="XY88" s="22"/>
      <c r="XZ88" s="22"/>
      <c r="YA88" s="22"/>
      <c r="YB88" s="22"/>
      <c r="YC88" s="22"/>
      <c r="YD88" s="22"/>
      <c r="YE88" s="22"/>
      <c r="YF88" s="22"/>
      <c r="YG88" s="22"/>
      <c r="YH88" s="22"/>
      <c r="YI88" s="22"/>
      <c r="YJ88" s="22"/>
      <c r="YK88" s="22"/>
      <c r="YL88" s="22"/>
      <c r="YM88" s="22"/>
      <c r="YN88" s="22"/>
      <c r="YO88" s="22"/>
      <c r="YP88" s="22"/>
      <c r="YQ88" s="22"/>
      <c r="YR88" s="22"/>
      <c r="YS88" s="22"/>
      <c r="YT88" s="22"/>
      <c r="YU88" s="22"/>
      <c r="YV88" s="22"/>
      <c r="YW88" s="22"/>
      <c r="YX88" s="22"/>
      <c r="YY88" s="22"/>
      <c r="YZ88" s="22"/>
      <c r="ZA88" s="22"/>
      <c r="ZB88" s="22"/>
      <c r="ZC88" s="22"/>
      <c r="ZD88" s="22"/>
      <c r="ZE88" s="22"/>
      <c r="ZF88" s="22"/>
      <c r="ZG88" s="22"/>
      <c r="ZH88" s="22"/>
      <c r="ZI88" s="22"/>
      <c r="ZJ88" s="22"/>
      <c r="ZK88" s="22"/>
      <c r="ZL88" s="22"/>
      <c r="ZM88" s="22"/>
      <c r="ZN88" s="22"/>
      <c r="ZO88" s="22"/>
      <c r="ZP88" s="22"/>
      <c r="ZQ88" s="22"/>
      <c r="ZR88" s="22"/>
      <c r="ZS88" s="22"/>
      <c r="ZT88" s="22"/>
      <c r="ZU88" s="22"/>
      <c r="ZV88" s="22"/>
      <c r="ZW88" s="22"/>
      <c r="ZX88" s="22"/>
      <c r="ZY88" s="22"/>
      <c r="ZZ88" s="22"/>
      <c r="AAA88" s="22"/>
      <c r="AAB88" s="22"/>
      <c r="AAC88" s="22"/>
      <c r="AAD88" s="22"/>
      <c r="AAE88" s="22"/>
      <c r="AAF88" s="22"/>
      <c r="AAG88" s="22"/>
      <c r="AAH88" s="22"/>
      <c r="AAI88" s="22"/>
      <c r="AAJ88" s="22"/>
      <c r="AAK88" s="22"/>
      <c r="AAL88" s="22"/>
      <c r="AAM88" s="22"/>
      <c r="AAN88" s="22"/>
      <c r="AAO88" s="22"/>
      <c r="AAP88" s="22"/>
      <c r="AAQ88" s="22"/>
      <c r="AAR88" s="22"/>
      <c r="AAS88" s="22"/>
      <c r="AAT88" s="22"/>
      <c r="AAU88" s="22"/>
      <c r="AAV88" s="22"/>
      <c r="AAW88" s="22"/>
      <c r="AAX88" s="22"/>
      <c r="AAY88" s="22"/>
      <c r="AAZ88" s="22"/>
      <c r="ABA88" s="22"/>
      <c r="ABB88" s="22"/>
      <c r="ABC88" s="22"/>
    </row>
    <row r="89" spans="4:731" ht="15" customHeight="1" x14ac:dyDescent="0.3">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22"/>
      <c r="ET89" s="22"/>
      <c r="EU89" s="22"/>
      <c r="EV89" s="22"/>
      <c r="EW89" s="22"/>
      <c r="EX89" s="22"/>
      <c r="EY89" s="22"/>
      <c r="EZ89" s="22"/>
      <c r="FA89" s="22"/>
      <c r="FB89" s="22"/>
      <c r="FC89" s="22"/>
      <c r="FD89" s="22"/>
      <c r="FE89" s="22"/>
      <c r="FF89" s="22"/>
      <c r="FG89" s="22"/>
      <c r="FH89" s="22"/>
      <c r="FI89" s="22"/>
      <c r="FJ89" s="22"/>
      <c r="FK89" s="22"/>
      <c r="FL89" s="22"/>
      <c r="FM89" s="22"/>
      <c r="FN89" s="22"/>
      <c r="FO89" s="22"/>
      <c r="FP89" s="22"/>
      <c r="FQ89" s="22"/>
      <c r="FR89" s="22"/>
      <c r="FS89" s="22"/>
      <c r="FT89" s="22"/>
      <c r="FU89" s="22"/>
      <c r="FV89" s="22"/>
      <c r="FW89" s="22"/>
      <c r="FX89" s="22"/>
      <c r="FY89" s="22"/>
      <c r="FZ89" s="22"/>
      <c r="GA89" s="22"/>
      <c r="GB89" s="22"/>
      <c r="GC89" s="22"/>
      <c r="GD89" s="22"/>
      <c r="GE89" s="22"/>
      <c r="GF89" s="22"/>
      <c r="GG89" s="22"/>
      <c r="GH89" s="22"/>
      <c r="GI89" s="22"/>
      <c r="GJ89" s="22"/>
      <c r="GK89" s="22"/>
      <c r="GL89" s="22"/>
      <c r="GM89" s="22"/>
      <c r="GN89" s="22"/>
      <c r="GO89" s="22"/>
      <c r="GP89" s="22"/>
      <c r="GQ89" s="22"/>
      <c r="GR89" s="22"/>
      <c r="GS89" s="22"/>
      <c r="GT89" s="22"/>
      <c r="GU89" s="22"/>
      <c r="GV89" s="22"/>
      <c r="GW89" s="22"/>
      <c r="GX89" s="22"/>
      <c r="GY89" s="22"/>
      <c r="GZ89" s="22"/>
      <c r="HA89" s="22"/>
      <c r="HB89" s="22"/>
      <c r="HC89" s="22"/>
      <c r="HD89" s="22"/>
      <c r="HE89" s="22"/>
      <c r="HF89" s="22"/>
      <c r="HG89" s="22"/>
      <c r="HH89" s="22"/>
      <c r="HI89" s="22"/>
      <c r="HJ89" s="22"/>
      <c r="HK89" s="22"/>
      <c r="HL89" s="22"/>
      <c r="HM89" s="22"/>
      <c r="HN89" s="22"/>
      <c r="HO89" s="22"/>
      <c r="HP89" s="22"/>
      <c r="HQ89" s="22"/>
      <c r="HR89" s="22"/>
      <c r="HS89" s="22"/>
      <c r="HT89" s="22"/>
      <c r="HU89" s="22"/>
      <c r="HV89" s="22"/>
      <c r="HW89" s="22"/>
      <c r="HX89" s="22"/>
      <c r="HY89" s="22"/>
      <c r="HZ89" s="22"/>
      <c r="IA89" s="22"/>
      <c r="IB89" s="22"/>
      <c r="IC89" s="22"/>
      <c r="ID89" s="22"/>
      <c r="IE89" s="22"/>
      <c r="IF89" s="22"/>
      <c r="IG89" s="22"/>
      <c r="IH89" s="22"/>
      <c r="II89" s="22"/>
      <c r="IJ89" s="22"/>
      <c r="IK89" s="22"/>
      <c r="IL89" s="22"/>
      <c r="IM89" s="22"/>
      <c r="IN89" s="22"/>
      <c r="IO89" s="22"/>
      <c r="IP89" s="22"/>
      <c r="IQ89" s="22"/>
      <c r="IR89" s="22"/>
      <c r="IS89" s="22"/>
      <c r="IT89" s="22"/>
      <c r="IU89" s="22"/>
      <c r="IV89" s="22"/>
      <c r="IW89" s="22"/>
      <c r="IX89" s="22"/>
      <c r="IY89" s="22"/>
      <c r="IZ89" s="22"/>
      <c r="JA89" s="22"/>
      <c r="JB89" s="22"/>
      <c r="JC89" s="22"/>
      <c r="JD89" s="22"/>
      <c r="JE89" s="22"/>
      <c r="JJ89" s="22"/>
      <c r="JK89" s="22"/>
      <c r="JL89" s="22"/>
      <c r="JM89" s="22"/>
      <c r="JN89" s="22"/>
      <c r="JO89" s="22"/>
      <c r="JP89" s="22"/>
      <c r="JQ89" s="22"/>
      <c r="JR89" s="22"/>
      <c r="JS89" s="22"/>
      <c r="JT89" s="22"/>
      <c r="JU89" s="22"/>
      <c r="JV89" s="22"/>
      <c r="JW89" s="22"/>
      <c r="JX89" s="22"/>
      <c r="JY89" s="22"/>
      <c r="JZ89" s="22"/>
      <c r="KA89" s="22"/>
      <c r="KB89" s="22"/>
      <c r="KC89" s="22"/>
      <c r="KD89" s="22"/>
      <c r="KE89" s="22"/>
      <c r="KF89" s="22"/>
      <c r="KG89" s="22"/>
      <c r="KH89" s="22"/>
      <c r="KI89" s="22"/>
      <c r="KJ89" s="22"/>
      <c r="KK89" s="22"/>
      <c r="KL89" s="22"/>
      <c r="KM89" s="22"/>
      <c r="KN89" s="22"/>
      <c r="KO89" s="22"/>
      <c r="KP89" s="22"/>
      <c r="KQ89" s="22"/>
      <c r="KR89" s="22"/>
      <c r="KS89" s="22"/>
      <c r="KT89" s="22"/>
      <c r="KU89" s="22"/>
      <c r="KV89" s="22"/>
      <c r="KW89" s="22"/>
      <c r="KX89" s="22"/>
      <c r="KY89" s="22"/>
      <c r="KZ89" s="22"/>
      <c r="LA89" s="22"/>
      <c r="LB89" s="22"/>
      <c r="LC89" s="22"/>
      <c r="LD89" s="22"/>
      <c r="LE89" s="22"/>
      <c r="LF89" s="22"/>
      <c r="LG89" s="22"/>
      <c r="LH89" s="22"/>
      <c r="LI89" s="22"/>
      <c r="LJ89" s="22"/>
      <c r="LK89" s="22"/>
      <c r="LL89" s="22"/>
      <c r="LM89" s="22"/>
      <c r="LN89" s="22"/>
      <c r="LO89" s="22"/>
      <c r="LP89" s="22"/>
      <c r="LQ89" s="22"/>
      <c r="LR89" s="22"/>
      <c r="LS89" s="22"/>
      <c r="LT89" s="22"/>
      <c r="LU89" s="22"/>
      <c r="LV89" s="22"/>
      <c r="LW89" s="22"/>
      <c r="LX89" s="22"/>
      <c r="LY89" s="22"/>
      <c r="LZ89" s="22"/>
      <c r="MA89" s="22"/>
      <c r="MB89" s="22"/>
      <c r="MC89" s="22"/>
      <c r="MD89" s="22"/>
      <c r="ME89" s="22"/>
      <c r="MF89" s="22"/>
      <c r="MG89" s="22"/>
      <c r="MH89" s="22"/>
      <c r="MI89" s="22"/>
      <c r="MJ89" s="22"/>
      <c r="MK89" s="22"/>
      <c r="ML89" s="22"/>
      <c r="MM89" s="22"/>
      <c r="MN89" s="22"/>
      <c r="MO89" s="22"/>
      <c r="MP89" s="22"/>
      <c r="MQ89" s="22"/>
      <c r="MR89" s="22"/>
      <c r="MS89" s="22"/>
      <c r="MT89" s="22"/>
      <c r="MU89" s="22"/>
      <c r="MV89" s="22"/>
      <c r="MW89" s="22"/>
      <c r="MX89" s="22"/>
      <c r="MY89" s="22"/>
      <c r="MZ89" s="22"/>
      <c r="NA89" s="22"/>
      <c r="NB89" s="22"/>
      <c r="NC89" s="22"/>
      <c r="ND89" s="22"/>
      <c r="NE89" s="22"/>
      <c r="NF89" s="22"/>
      <c r="NG89" s="22"/>
      <c r="NH89" s="22"/>
      <c r="NI89" s="22"/>
      <c r="NJ89" s="22"/>
      <c r="NK89" s="22"/>
      <c r="NL89" s="22"/>
      <c r="NM89" s="22"/>
      <c r="NN89" s="22"/>
      <c r="NO89" s="22"/>
      <c r="NP89" s="22"/>
      <c r="NQ89" s="22"/>
      <c r="NR89" s="22"/>
      <c r="NS89" s="22"/>
      <c r="NT89" s="22"/>
      <c r="NU89" s="22"/>
      <c r="NV89" s="22"/>
      <c r="NW89" s="22"/>
      <c r="NX89" s="22"/>
      <c r="NY89" s="22"/>
      <c r="NZ89" s="22"/>
      <c r="OA89" s="22"/>
      <c r="OB89" s="22"/>
      <c r="OC89" s="22"/>
      <c r="OD89" s="22"/>
      <c r="OE89" s="22"/>
      <c r="OF89" s="22"/>
      <c r="OG89" s="22"/>
      <c r="OH89" s="22"/>
      <c r="OI89" s="22"/>
      <c r="OJ89" s="22"/>
      <c r="OK89" s="22"/>
      <c r="OL89" s="22"/>
      <c r="OM89" s="22"/>
      <c r="ON89" s="22"/>
      <c r="OO89" s="22"/>
      <c r="OP89" s="22"/>
      <c r="OQ89" s="22"/>
      <c r="OR89" s="22"/>
      <c r="OS89" s="22"/>
      <c r="OT89" s="22"/>
      <c r="OU89" s="22"/>
      <c r="OV89" s="22"/>
      <c r="OW89" s="22"/>
      <c r="OX89" s="22"/>
      <c r="OY89" s="22"/>
      <c r="OZ89" s="22"/>
      <c r="PA89" s="22"/>
      <c r="PB89" s="22"/>
      <c r="PC89" s="22"/>
      <c r="PD89" s="22"/>
      <c r="PE89" s="22"/>
      <c r="PF89" s="22"/>
      <c r="PG89" s="22"/>
      <c r="PH89" s="22"/>
      <c r="PI89" s="22"/>
      <c r="PJ89" s="22"/>
      <c r="PK89" s="22"/>
      <c r="PL89" s="22"/>
      <c r="PM89" s="22"/>
      <c r="PN89" s="22"/>
      <c r="PO89" s="22"/>
      <c r="PP89" s="22"/>
      <c r="PQ89" s="22"/>
      <c r="PR89" s="22"/>
      <c r="PS89" s="22"/>
      <c r="PT89" s="22"/>
      <c r="PU89" s="22"/>
      <c r="PV89" s="22"/>
      <c r="PW89" s="22"/>
      <c r="PX89" s="22"/>
      <c r="PY89" s="22"/>
      <c r="PZ89" s="22"/>
      <c r="QA89" s="22"/>
      <c r="QB89" s="22"/>
      <c r="QC89" s="22"/>
      <c r="QD89" s="22"/>
      <c r="QE89" s="22"/>
      <c r="QF89" s="22"/>
      <c r="QG89" s="22"/>
      <c r="QH89" s="22"/>
      <c r="QI89" s="22"/>
      <c r="QJ89" s="22"/>
      <c r="QK89" s="22"/>
      <c r="QL89" s="22"/>
      <c r="QM89" s="22"/>
      <c r="QN89" s="22"/>
      <c r="QO89" s="22"/>
      <c r="QP89" s="22"/>
      <c r="QQ89" s="22"/>
      <c r="QR89" s="22"/>
      <c r="QS89" s="22"/>
      <c r="QT89" s="22"/>
      <c r="QU89" s="22"/>
      <c r="QV89" s="22"/>
      <c r="QW89" s="22"/>
      <c r="QX89" s="22"/>
      <c r="QY89" s="22"/>
      <c r="QZ89" s="22"/>
      <c r="RA89" s="22"/>
      <c r="RB89" s="22"/>
      <c r="RC89" s="22"/>
      <c r="RD89" s="22"/>
      <c r="RE89" s="22"/>
      <c r="RF89" s="22"/>
      <c r="RG89" s="22"/>
      <c r="RH89" s="22"/>
      <c r="RI89" s="22"/>
      <c r="RJ89" s="22"/>
      <c r="RK89" s="22"/>
      <c r="RL89" s="22"/>
      <c r="RM89" s="22"/>
      <c r="RN89" s="22"/>
      <c r="RO89" s="22"/>
      <c r="RP89" s="22"/>
      <c r="RQ89" s="22"/>
      <c r="RR89" s="22"/>
      <c r="RS89" s="22"/>
      <c r="RT89" s="22"/>
      <c r="RU89" s="22"/>
      <c r="RV89" s="22"/>
      <c r="RW89" s="22"/>
      <c r="RX89" s="22"/>
      <c r="RY89" s="22"/>
      <c r="RZ89" s="22"/>
      <c r="SA89" s="22"/>
      <c r="SB89" s="22"/>
      <c r="SC89" s="22"/>
      <c r="SD89" s="22"/>
      <c r="SE89" s="22"/>
      <c r="SF89" s="22"/>
      <c r="SG89" s="22"/>
      <c r="SH89" s="22"/>
      <c r="SI89" s="22"/>
      <c r="SJ89" s="22"/>
      <c r="SK89" s="22"/>
      <c r="SL89" s="22"/>
      <c r="SM89" s="22"/>
      <c r="SN89" s="22"/>
      <c r="SO89" s="22"/>
      <c r="SP89" s="22"/>
      <c r="SQ89" s="22"/>
      <c r="SR89" s="22"/>
      <c r="SS89" s="22"/>
      <c r="ST89" s="22"/>
      <c r="SU89" s="22"/>
      <c r="SV89" s="22"/>
      <c r="SW89" s="22"/>
      <c r="SX89" s="22"/>
      <c r="SY89" s="22"/>
      <c r="SZ89" s="22"/>
      <c r="TA89" s="22"/>
      <c r="TB89" s="22"/>
      <c r="TC89" s="22"/>
      <c r="TD89" s="22"/>
      <c r="TE89" s="22"/>
      <c r="TF89" s="22"/>
      <c r="TG89" s="22"/>
      <c r="TH89" s="22"/>
      <c r="TI89" s="22"/>
      <c r="TJ89" s="22"/>
      <c r="TK89" s="22"/>
      <c r="TL89" s="22"/>
      <c r="TM89" s="22"/>
      <c r="TN89" s="22"/>
      <c r="TO89" s="22"/>
      <c r="TP89" s="22"/>
      <c r="TQ89" s="22"/>
      <c r="TR89" s="22"/>
      <c r="TS89" s="22"/>
      <c r="TT89" s="22"/>
      <c r="TU89" s="22"/>
      <c r="TV89" s="22"/>
      <c r="TW89" s="22"/>
      <c r="TX89" s="22"/>
      <c r="TY89" s="22"/>
      <c r="TZ89" s="22"/>
      <c r="UA89" s="22"/>
      <c r="UB89" s="22"/>
      <c r="UC89" s="22"/>
      <c r="UD89" s="22"/>
      <c r="UE89" s="22"/>
      <c r="UF89" s="22"/>
      <c r="UG89" s="22"/>
      <c r="UH89" s="22"/>
      <c r="UI89" s="22"/>
      <c r="UJ89" s="22"/>
      <c r="UK89" s="22"/>
      <c r="UL89" s="22"/>
      <c r="UM89" s="22"/>
      <c r="UN89" s="22"/>
      <c r="UO89" s="22"/>
      <c r="UP89" s="22"/>
      <c r="UQ89" s="22"/>
      <c r="UR89" s="22"/>
      <c r="US89" s="22"/>
      <c r="UT89" s="22"/>
      <c r="UU89" s="22"/>
      <c r="UV89" s="22"/>
      <c r="UW89" s="22"/>
      <c r="UX89" s="22"/>
      <c r="UY89" s="22"/>
      <c r="UZ89" s="22"/>
      <c r="VA89" s="22"/>
      <c r="VB89" s="22"/>
      <c r="VC89" s="22"/>
      <c r="VD89" s="22"/>
      <c r="VE89" s="22"/>
      <c r="VF89" s="22"/>
      <c r="VG89" s="22"/>
      <c r="VH89" s="22"/>
      <c r="VI89" s="22"/>
      <c r="VJ89" s="22"/>
      <c r="VK89" s="22"/>
      <c r="VL89" s="22"/>
      <c r="VM89" s="22"/>
      <c r="VN89" s="22"/>
      <c r="VO89" s="22"/>
      <c r="VP89" s="22"/>
      <c r="VQ89" s="22"/>
      <c r="VR89" s="22"/>
      <c r="VS89" s="22"/>
      <c r="VT89" s="22"/>
      <c r="VU89" s="22"/>
      <c r="VV89" s="22"/>
      <c r="VW89" s="22"/>
      <c r="VX89" s="22"/>
      <c r="VY89" s="22"/>
      <c r="VZ89" s="22"/>
      <c r="WA89" s="22"/>
      <c r="WB89" s="22"/>
      <c r="WC89" s="22"/>
      <c r="WD89" s="22"/>
      <c r="WE89" s="22"/>
      <c r="WF89" s="22"/>
      <c r="WG89" s="22"/>
      <c r="WH89" s="22"/>
      <c r="WI89" s="22"/>
      <c r="WJ89" s="22"/>
      <c r="WK89" s="22"/>
      <c r="WL89" s="22"/>
      <c r="WM89" s="22"/>
      <c r="WN89" s="22"/>
      <c r="WO89" s="22"/>
      <c r="WP89" s="22"/>
      <c r="WQ89" s="22"/>
      <c r="WR89" s="22"/>
      <c r="WS89" s="22"/>
      <c r="WT89" s="22"/>
      <c r="WU89" s="22"/>
      <c r="WV89" s="22"/>
      <c r="WW89" s="22"/>
      <c r="WX89" s="22"/>
      <c r="WY89" s="22"/>
      <c r="WZ89" s="22"/>
      <c r="XA89" s="22"/>
      <c r="XB89" s="22"/>
      <c r="XC89" s="22"/>
      <c r="XD89" s="22"/>
      <c r="XE89" s="22"/>
      <c r="XF89" s="22"/>
      <c r="XG89" s="22"/>
      <c r="XH89" s="22"/>
      <c r="XI89" s="22"/>
      <c r="XJ89" s="22"/>
      <c r="XK89" s="22"/>
      <c r="XL89" s="22"/>
      <c r="XM89" s="22"/>
      <c r="XN89" s="22"/>
      <c r="XO89" s="22"/>
      <c r="XP89" s="22"/>
      <c r="XQ89" s="22"/>
      <c r="XR89" s="22"/>
      <c r="XS89" s="22"/>
      <c r="XT89" s="22"/>
      <c r="XU89" s="22"/>
      <c r="XV89" s="22"/>
      <c r="XW89" s="22"/>
      <c r="XX89" s="22"/>
      <c r="XY89" s="22"/>
      <c r="XZ89" s="22"/>
      <c r="YA89" s="22"/>
      <c r="YB89" s="22"/>
      <c r="YC89" s="22"/>
      <c r="YD89" s="22"/>
      <c r="YE89" s="22"/>
      <c r="YF89" s="22"/>
      <c r="YG89" s="22"/>
      <c r="YH89" s="22"/>
      <c r="YI89" s="22"/>
      <c r="YJ89" s="22"/>
      <c r="YK89" s="22"/>
      <c r="YL89" s="22"/>
      <c r="YM89" s="22"/>
      <c r="YN89" s="22"/>
      <c r="YO89" s="22"/>
      <c r="YP89" s="22"/>
      <c r="YQ89" s="22"/>
      <c r="YR89" s="22"/>
      <c r="YS89" s="22"/>
      <c r="YT89" s="22"/>
      <c r="YU89" s="22"/>
      <c r="YV89" s="22"/>
      <c r="YW89" s="22"/>
      <c r="YX89" s="22"/>
      <c r="YY89" s="22"/>
      <c r="YZ89" s="22"/>
      <c r="ZA89" s="22"/>
      <c r="ZB89" s="22"/>
      <c r="ZC89" s="22"/>
      <c r="ZD89" s="22"/>
      <c r="ZE89" s="22"/>
      <c r="ZF89" s="22"/>
      <c r="ZG89" s="22"/>
      <c r="ZH89" s="22"/>
      <c r="ZI89" s="22"/>
      <c r="ZJ89" s="22"/>
      <c r="ZK89" s="22"/>
      <c r="ZL89" s="22"/>
      <c r="ZM89" s="22"/>
      <c r="ZN89" s="22"/>
      <c r="ZO89" s="22"/>
      <c r="ZP89" s="22"/>
      <c r="ZQ89" s="22"/>
      <c r="ZR89" s="22"/>
      <c r="ZS89" s="22"/>
      <c r="ZT89" s="22"/>
      <c r="ZU89" s="22"/>
      <c r="ZV89" s="22"/>
      <c r="ZW89" s="22"/>
      <c r="ZX89" s="22"/>
      <c r="ZY89" s="22"/>
      <c r="ZZ89" s="22"/>
      <c r="AAA89" s="22"/>
      <c r="AAB89" s="22"/>
      <c r="AAC89" s="22"/>
      <c r="AAD89" s="22"/>
      <c r="AAE89" s="22"/>
      <c r="AAF89" s="22"/>
      <c r="AAG89" s="22"/>
      <c r="AAH89" s="22"/>
      <c r="AAI89" s="22"/>
      <c r="AAJ89" s="22"/>
      <c r="AAK89" s="22"/>
      <c r="AAL89" s="22"/>
      <c r="AAM89" s="22"/>
      <c r="AAN89" s="22"/>
      <c r="AAO89" s="22"/>
      <c r="AAP89" s="22"/>
      <c r="AAQ89" s="22"/>
      <c r="AAR89" s="22"/>
      <c r="AAS89" s="22"/>
      <c r="AAT89" s="22"/>
      <c r="AAU89" s="22"/>
      <c r="AAV89" s="22"/>
      <c r="AAW89" s="22"/>
      <c r="AAX89" s="22"/>
      <c r="AAY89" s="22"/>
      <c r="AAZ89" s="22"/>
      <c r="ABA89" s="22"/>
      <c r="ABB89" s="22"/>
      <c r="ABC89" s="22"/>
    </row>
    <row r="90" spans="4:731" ht="15" customHeight="1" x14ac:dyDescent="0.3">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c r="FO90" s="22"/>
      <c r="FP90" s="22"/>
      <c r="FQ90" s="22"/>
      <c r="FR90" s="22"/>
      <c r="FS90" s="22"/>
      <c r="FT90" s="22"/>
      <c r="FU90" s="22"/>
      <c r="FV90" s="22"/>
      <c r="FW90" s="22"/>
      <c r="FX90" s="22"/>
      <c r="FY90" s="22"/>
      <c r="FZ90" s="22"/>
      <c r="GA90" s="22"/>
      <c r="GB90" s="22"/>
      <c r="GC90" s="22"/>
      <c r="GD90" s="22"/>
      <c r="GE90" s="22"/>
      <c r="GF90" s="22"/>
      <c r="GG90" s="22"/>
      <c r="GH90" s="22"/>
      <c r="GI90" s="22"/>
      <c r="GJ90" s="22"/>
      <c r="GK90" s="22"/>
      <c r="GL90" s="22"/>
      <c r="GM90" s="22"/>
      <c r="GN90" s="22"/>
      <c r="GO90" s="22"/>
      <c r="GP90" s="22"/>
      <c r="GQ90" s="22"/>
      <c r="GR90" s="22"/>
      <c r="GS90" s="22"/>
      <c r="GT90" s="22"/>
      <c r="GU90" s="22"/>
      <c r="GV90" s="22"/>
      <c r="GW90" s="22"/>
      <c r="GX90" s="22"/>
      <c r="GY90" s="22"/>
      <c r="GZ90" s="22"/>
      <c r="HA90" s="22"/>
      <c r="HB90" s="22"/>
      <c r="HC90" s="22"/>
      <c r="HD90" s="22"/>
      <c r="HE90" s="22"/>
      <c r="HF90" s="22"/>
      <c r="HG90" s="22"/>
      <c r="HH90" s="22"/>
      <c r="HI90" s="22"/>
      <c r="HJ90" s="22"/>
      <c r="HK90" s="22"/>
      <c r="HL90" s="22"/>
      <c r="HM90" s="22"/>
      <c r="HN90" s="22"/>
      <c r="HO90" s="22"/>
      <c r="HP90" s="22"/>
      <c r="HQ90" s="22"/>
      <c r="HR90" s="22"/>
      <c r="HS90" s="22"/>
      <c r="HT90" s="22"/>
      <c r="HU90" s="22"/>
      <c r="HV90" s="22"/>
      <c r="HW90" s="22"/>
      <c r="HX90" s="22"/>
      <c r="HY90" s="22"/>
      <c r="HZ90" s="22"/>
      <c r="IA90" s="22"/>
      <c r="IB90" s="22"/>
      <c r="IC90" s="22"/>
      <c r="ID90" s="22"/>
      <c r="IE90" s="22"/>
      <c r="IF90" s="22"/>
      <c r="IG90" s="22"/>
      <c r="IH90" s="22"/>
      <c r="II90" s="22"/>
      <c r="IJ90" s="22"/>
      <c r="IK90" s="22"/>
      <c r="IL90" s="22"/>
      <c r="IM90" s="22"/>
      <c r="IN90" s="22"/>
      <c r="IO90" s="22"/>
      <c r="IP90" s="22"/>
      <c r="IQ90" s="22"/>
      <c r="IR90" s="22"/>
      <c r="IS90" s="22"/>
      <c r="IT90" s="22"/>
      <c r="IU90" s="22"/>
      <c r="IV90" s="22"/>
      <c r="IW90" s="22"/>
      <c r="IX90" s="22"/>
      <c r="IY90" s="22"/>
      <c r="IZ90" s="22"/>
      <c r="JA90" s="22"/>
      <c r="JB90" s="22"/>
      <c r="JC90" s="22"/>
      <c r="JD90" s="22"/>
      <c r="JE90" s="22"/>
      <c r="JJ90" s="22"/>
      <c r="JK90" s="22"/>
      <c r="JL90" s="22"/>
      <c r="JM90" s="22"/>
      <c r="JN90" s="22"/>
      <c r="JO90" s="22"/>
      <c r="JP90" s="22"/>
      <c r="JQ90" s="22"/>
      <c r="JR90" s="22"/>
      <c r="JS90" s="22"/>
      <c r="JT90" s="22"/>
      <c r="JU90" s="22"/>
      <c r="JV90" s="22"/>
      <c r="JW90" s="22"/>
      <c r="JX90" s="22"/>
      <c r="JY90" s="22"/>
      <c r="JZ90" s="22"/>
      <c r="KA90" s="22"/>
      <c r="KB90" s="22"/>
      <c r="KC90" s="22"/>
      <c r="KD90" s="22"/>
      <c r="KE90" s="22"/>
      <c r="KF90" s="22"/>
      <c r="KG90" s="22"/>
      <c r="KH90" s="22"/>
      <c r="KI90" s="22"/>
      <c r="KJ90" s="22"/>
      <c r="KK90" s="22"/>
      <c r="KL90" s="22"/>
      <c r="KM90" s="22"/>
      <c r="KN90" s="22"/>
      <c r="KO90" s="22"/>
      <c r="KP90" s="22"/>
      <c r="KQ90" s="22"/>
      <c r="KR90" s="22"/>
      <c r="KS90" s="22"/>
      <c r="KT90" s="22"/>
      <c r="KU90" s="22"/>
      <c r="KV90" s="22"/>
      <c r="KW90" s="22"/>
      <c r="KX90" s="22"/>
      <c r="KY90" s="22"/>
      <c r="KZ90" s="22"/>
      <c r="LA90" s="22"/>
      <c r="LB90" s="22"/>
      <c r="LC90" s="22"/>
      <c r="LD90" s="22"/>
      <c r="LE90" s="22"/>
      <c r="LF90" s="22"/>
      <c r="LG90" s="22"/>
      <c r="LH90" s="22"/>
      <c r="LI90" s="22"/>
      <c r="LJ90" s="22"/>
      <c r="LK90" s="22"/>
      <c r="LL90" s="22"/>
      <c r="LM90" s="22"/>
      <c r="LN90" s="22"/>
      <c r="LO90" s="22"/>
      <c r="LP90" s="22"/>
      <c r="LQ90" s="22"/>
      <c r="LR90" s="22"/>
      <c r="LS90" s="22"/>
      <c r="LT90" s="22"/>
      <c r="LU90" s="22"/>
      <c r="LV90" s="22"/>
      <c r="LW90" s="22"/>
      <c r="LX90" s="22"/>
      <c r="LY90" s="22"/>
      <c r="LZ90" s="22"/>
      <c r="MA90" s="22"/>
      <c r="MB90" s="22"/>
      <c r="MC90" s="22"/>
      <c r="MD90" s="22"/>
      <c r="ME90" s="22"/>
      <c r="MF90" s="22"/>
      <c r="MG90" s="22"/>
      <c r="MH90" s="22"/>
      <c r="MI90" s="22"/>
      <c r="MJ90" s="22"/>
      <c r="MK90" s="22"/>
      <c r="ML90" s="22"/>
      <c r="MM90" s="22"/>
      <c r="MN90" s="22"/>
      <c r="MO90" s="22"/>
      <c r="MP90" s="22"/>
      <c r="MQ90" s="22"/>
      <c r="MR90" s="22"/>
      <c r="MS90" s="22"/>
      <c r="MT90" s="22"/>
      <c r="MU90" s="22"/>
      <c r="MV90" s="22"/>
      <c r="MW90" s="22"/>
      <c r="MX90" s="22"/>
      <c r="MY90" s="22"/>
      <c r="MZ90" s="22"/>
      <c r="NA90" s="22"/>
      <c r="NB90" s="22"/>
      <c r="NC90" s="22"/>
      <c r="ND90" s="22"/>
      <c r="NE90" s="22"/>
      <c r="NF90" s="22"/>
      <c r="NG90" s="22"/>
      <c r="NH90" s="22"/>
      <c r="NI90" s="22"/>
      <c r="NJ90" s="22"/>
      <c r="NK90" s="22"/>
      <c r="NL90" s="22"/>
      <c r="NM90" s="22"/>
      <c r="NN90" s="22"/>
      <c r="NO90" s="22"/>
      <c r="NP90" s="22"/>
      <c r="NQ90" s="22"/>
      <c r="NR90" s="22"/>
      <c r="NS90" s="22"/>
      <c r="NT90" s="22"/>
      <c r="NU90" s="22"/>
      <c r="NV90" s="22"/>
      <c r="NW90" s="22"/>
      <c r="NX90" s="22"/>
      <c r="NY90" s="22"/>
      <c r="NZ90" s="22"/>
      <c r="OA90" s="22"/>
      <c r="OB90" s="22"/>
      <c r="OC90" s="22"/>
      <c r="OD90" s="22"/>
      <c r="OE90" s="22"/>
      <c r="OF90" s="22"/>
      <c r="OG90" s="22"/>
      <c r="OH90" s="22"/>
      <c r="OI90" s="22"/>
      <c r="OJ90" s="22"/>
      <c r="OK90" s="22"/>
      <c r="OL90" s="22"/>
      <c r="OM90" s="22"/>
      <c r="ON90" s="22"/>
      <c r="OO90" s="22"/>
      <c r="OP90" s="22"/>
      <c r="OQ90" s="22"/>
      <c r="OR90" s="22"/>
      <c r="OS90" s="22"/>
      <c r="OT90" s="22"/>
      <c r="OU90" s="22"/>
      <c r="OV90" s="22"/>
      <c r="OW90" s="22"/>
      <c r="OX90" s="22"/>
      <c r="OY90" s="22"/>
      <c r="OZ90" s="22"/>
      <c r="PA90" s="22"/>
      <c r="PB90" s="22"/>
      <c r="PC90" s="22"/>
      <c r="PD90" s="22"/>
      <c r="PE90" s="22"/>
      <c r="PF90" s="22"/>
      <c r="PG90" s="22"/>
      <c r="PH90" s="22"/>
      <c r="PI90" s="22"/>
      <c r="PJ90" s="22"/>
      <c r="PK90" s="22"/>
      <c r="PL90" s="22"/>
      <c r="PM90" s="22"/>
      <c r="PN90" s="22"/>
      <c r="PO90" s="22"/>
      <c r="PP90" s="22"/>
      <c r="PQ90" s="22"/>
      <c r="PR90" s="22"/>
      <c r="PS90" s="22"/>
      <c r="PT90" s="22"/>
      <c r="PU90" s="22"/>
      <c r="PV90" s="22"/>
      <c r="PW90" s="22"/>
      <c r="PX90" s="22"/>
      <c r="PY90" s="22"/>
      <c r="PZ90" s="22"/>
      <c r="QA90" s="22"/>
      <c r="QB90" s="22"/>
      <c r="QC90" s="22"/>
      <c r="QD90" s="22"/>
      <c r="QE90" s="22"/>
      <c r="QF90" s="22"/>
      <c r="QG90" s="22"/>
      <c r="QH90" s="22"/>
      <c r="QI90" s="22"/>
      <c r="QJ90" s="22"/>
      <c r="QK90" s="22"/>
      <c r="QL90" s="22"/>
      <c r="QM90" s="22"/>
      <c r="QN90" s="22"/>
      <c r="QO90" s="22"/>
      <c r="QP90" s="22"/>
      <c r="QQ90" s="22"/>
      <c r="QR90" s="22"/>
      <c r="QS90" s="22"/>
      <c r="QT90" s="22"/>
      <c r="QU90" s="22"/>
      <c r="QV90" s="22"/>
      <c r="QW90" s="22"/>
      <c r="QX90" s="22"/>
      <c r="QY90" s="22"/>
      <c r="QZ90" s="22"/>
      <c r="RA90" s="22"/>
      <c r="RB90" s="22"/>
      <c r="RC90" s="22"/>
      <c r="RD90" s="22"/>
      <c r="RE90" s="22"/>
      <c r="RF90" s="22"/>
      <c r="RG90" s="22"/>
      <c r="RH90" s="22"/>
      <c r="RI90" s="22"/>
      <c r="RJ90" s="22"/>
      <c r="RK90" s="22"/>
      <c r="RL90" s="22"/>
      <c r="RM90" s="22"/>
      <c r="RN90" s="22"/>
      <c r="RO90" s="22"/>
      <c r="RP90" s="22"/>
      <c r="RQ90" s="22"/>
      <c r="RR90" s="22"/>
      <c r="RS90" s="22"/>
      <c r="RT90" s="22"/>
      <c r="RU90" s="22"/>
      <c r="RV90" s="22"/>
      <c r="RW90" s="22"/>
      <c r="RX90" s="22"/>
      <c r="RY90" s="22"/>
      <c r="RZ90" s="22"/>
      <c r="SA90" s="22"/>
      <c r="SB90" s="22"/>
      <c r="SC90" s="22"/>
      <c r="SD90" s="22"/>
      <c r="SE90" s="22"/>
      <c r="SF90" s="22"/>
      <c r="SG90" s="22"/>
      <c r="SH90" s="22"/>
      <c r="SI90" s="22"/>
      <c r="SJ90" s="22"/>
      <c r="SK90" s="22"/>
      <c r="SL90" s="22"/>
      <c r="SM90" s="22"/>
      <c r="SN90" s="22"/>
      <c r="SO90" s="22"/>
      <c r="SP90" s="22"/>
      <c r="SQ90" s="22"/>
      <c r="SR90" s="22"/>
      <c r="SS90" s="22"/>
      <c r="ST90" s="22"/>
      <c r="SU90" s="22"/>
      <c r="SV90" s="22"/>
      <c r="SW90" s="22"/>
      <c r="SX90" s="22"/>
      <c r="SY90" s="22"/>
      <c r="SZ90" s="22"/>
      <c r="TA90" s="22"/>
      <c r="TB90" s="22"/>
      <c r="TC90" s="22"/>
      <c r="TD90" s="22"/>
      <c r="TE90" s="22"/>
      <c r="TF90" s="22"/>
      <c r="TG90" s="22"/>
      <c r="TH90" s="22"/>
      <c r="TI90" s="22"/>
      <c r="TJ90" s="22"/>
      <c r="TK90" s="22"/>
      <c r="TL90" s="22"/>
      <c r="TM90" s="22"/>
      <c r="TN90" s="22"/>
      <c r="TO90" s="22"/>
      <c r="TP90" s="22"/>
      <c r="TQ90" s="22"/>
      <c r="TR90" s="22"/>
      <c r="TS90" s="22"/>
      <c r="TT90" s="22"/>
      <c r="TU90" s="22"/>
      <c r="TV90" s="22"/>
      <c r="TW90" s="22"/>
      <c r="TX90" s="22"/>
      <c r="TY90" s="22"/>
      <c r="TZ90" s="22"/>
      <c r="UA90" s="22"/>
      <c r="UB90" s="22"/>
      <c r="UC90" s="22"/>
      <c r="UD90" s="22"/>
      <c r="UE90" s="22"/>
      <c r="UF90" s="22"/>
      <c r="UG90" s="22"/>
      <c r="UH90" s="22"/>
      <c r="UI90" s="22"/>
      <c r="UJ90" s="22"/>
      <c r="UK90" s="22"/>
      <c r="UL90" s="22"/>
      <c r="UM90" s="22"/>
      <c r="UN90" s="22"/>
      <c r="UO90" s="22"/>
      <c r="UP90" s="22"/>
      <c r="UQ90" s="22"/>
      <c r="UR90" s="22"/>
      <c r="US90" s="22"/>
      <c r="UT90" s="22"/>
      <c r="UU90" s="22"/>
      <c r="UV90" s="22"/>
      <c r="UW90" s="22"/>
      <c r="UX90" s="22"/>
      <c r="UY90" s="22"/>
      <c r="UZ90" s="22"/>
      <c r="VA90" s="22"/>
      <c r="VB90" s="22"/>
      <c r="VC90" s="22"/>
      <c r="VD90" s="22"/>
      <c r="VE90" s="22"/>
      <c r="VF90" s="22"/>
      <c r="VG90" s="22"/>
      <c r="VH90" s="22"/>
      <c r="VI90" s="22"/>
      <c r="VJ90" s="22"/>
      <c r="VK90" s="22"/>
      <c r="VL90" s="22"/>
      <c r="VM90" s="22"/>
      <c r="VN90" s="22"/>
      <c r="VO90" s="22"/>
      <c r="VP90" s="22"/>
      <c r="VQ90" s="22"/>
      <c r="VR90" s="22"/>
      <c r="VS90" s="22"/>
      <c r="VT90" s="22"/>
      <c r="VU90" s="22"/>
      <c r="VV90" s="22"/>
      <c r="VW90" s="22"/>
      <c r="VX90" s="22"/>
      <c r="VY90" s="22"/>
      <c r="VZ90" s="22"/>
      <c r="WA90" s="22"/>
      <c r="WB90" s="22"/>
      <c r="WC90" s="22"/>
      <c r="WD90" s="22"/>
      <c r="WE90" s="22"/>
      <c r="WF90" s="22"/>
      <c r="WG90" s="22"/>
      <c r="WH90" s="22"/>
      <c r="WI90" s="22"/>
      <c r="WJ90" s="22"/>
      <c r="WK90" s="22"/>
      <c r="WL90" s="22"/>
      <c r="WM90" s="22"/>
      <c r="WN90" s="22"/>
      <c r="WO90" s="22"/>
      <c r="WP90" s="22"/>
      <c r="WQ90" s="22"/>
      <c r="WR90" s="22"/>
      <c r="WS90" s="22"/>
      <c r="WT90" s="22"/>
      <c r="WU90" s="22"/>
      <c r="WV90" s="22"/>
      <c r="WW90" s="22"/>
      <c r="WX90" s="22"/>
      <c r="WY90" s="22"/>
      <c r="WZ90" s="22"/>
      <c r="XA90" s="22"/>
      <c r="XB90" s="22"/>
      <c r="XC90" s="22"/>
      <c r="XD90" s="22"/>
      <c r="XE90" s="22"/>
      <c r="XF90" s="22"/>
      <c r="XG90" s="22"/>
      <c r="XH90" s="22"/>
      <c r="XI90" s="22"/>
      <c r="XJ90" s="22"/>
      <c r="XK90" s="22"/>
      <c r="XL90" s="22"/>
      <c r="XM90" s="22"/>
      <c r="XN90" s="22"/>
      <c r="XO90" s="22"/>
      <c r="XP90" s="22"/>
      <c r="XQ90" s="22"/>
      <c r="XR90" s="22"/>
      <c r="XS90" s="22"/>
      <c r="XT90" s="22"/>
      <c r="XU90" s="22"/>
      <c r="XV90" s="22"/>
      <c r="XW90" s="22"/>
      <c r="XX90" s="22"/>
      <c r="XY90" s="22"/>
      <c r="XZ90" s="22"/>
      <c r="YA90" s="22"/>
      <c r="YB90" s="22"/>
      <c r="YC90" s="22"/>
      <c r="YD90" s="22"/>
      <c r="YE90" s="22"/>
      <c r="YF90" s="22"/>
      <c r="YG90" s="22"/>
      <c r="YH90" s="22"/>
      <c r="YI90" s="22"/>
      <c r="YJ90" s="22"/>
      <c r="YK90" s="22"/>
      <c r="YL90" s="22"/>
      <c r="YM90" s="22"/>
      <c r="YN90" s="22"/>
      <c r="YO90" s="22"/>
      <c r="YP90" s="22"/>
      <c r="YQ90" s="22"/>
      <c r="YR90" s="22"/>
      <c r="YS90" s="22"/>
      <c r="YT90" s="22"/>
      <c r="YU90" s="22"/>
      <c r="YV90" s="22"/>
      <c r="YW90" s="22"/>
      <c r="YX90" s="22"/>
      <c r="YY90" s="22"/>
      <c r="YZ90" s="22"/>
      <c r="ZA90" s="22"/>
      <c r="ZB90" s="22"/>
      <c r="ZC90" s="22"/>
      <c r="ZD90" s="22"/>
      <c r="ZE90" s="22"/>
      <c r="ZF90" s="22"/>
      <c r="ZG90" s="22"/>
      <c r="ZH90" s="22"/>
      <c r="ZI90" s="22"/>
      <c r="ZJ90" s="22"/>
      <c r="ZK90" s="22"/>
      <c r="ZL90" s="22"/>
      <c r="ZM90" s="22"/>
      <c r="ZN90" s="22"/>
      <c r="ZO90" s="22"/>
      <c r="ZP90" s="22"/>
      <c r="ZQ90" s="22"/>
      <c r="ZR90" s="22"/>
      <c r="ZS90" s="22"/>
      <c r="ZT90" s="22"/>
      <c r="ZU90" s="22"/>
      <c r="ZV90" s="22"/>
      <c r="ZW90" s="22"/>
      <c r="ZX90" s="22"/>
      <c r="ZY90" s="22"/>
      <c r="ZZ90" s="22"/>
      <c r="AAA90" s="22"/>
      <c r="AAB90" s="22"/>
      <c r="AAC90" s="22"/>
      <c r="AAD90" s="22"/>
      <c r="AAE90" s="22"/>
      <c r="AAF90" s="22"/>
      <c r="AAG90" s="22"/>
      <c r="AAH90" s="22"/>
      <c r="AAI90" s="22"/>
      <c r="AAJ90" s="22"/>
      <c r="AAK90" s="22"/>
      <c r="AAL90" s="22"/>
      <c r="AAM90" s="22"/>
      <c r="AAN90" s="22"/>
      <c r="AAO90" s="22"/>
      <c r="AAP90" s="22"/>
      <c r="AAQ90" s="22"/>
      <c r="AAR90" s="22"/>
      <c r="AAS90" s="22"/>
      <c r="AAT90" s="22"/>
      <c r="AAU90" s="22"/>
      <c r="AAV90" s="22"/>
      <c r="AAW90" s="22"/>
      <c r="AAX90" s="22"/>
      <c r="AAY90" s="22"/>
      <c r="AAZ90" s="22"/>
      <c r="ABA90" s="22"/>
      <c r="ABB90" s="22"/>
      <c r="ABC90" s="22"/>
    </row>
    <row r="91" spans="4:731" ht="15" customHeight="1" x14ac:dyDescent="0.3">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c r="FJ91" s="22"/>
      <c r="FK91" s="22"/>
      <c r="FL91" s="22"/>
      <c r="FM91" s="22"/>
      <c r="FN91" s="22"/>
      <c r="FO91" s="22"/>
      <c r="FP91" s="22"/>
      <c r="FQ91" s="22"/>
      <c r="FR91" s="22"/>
      <c r="FS91" s="22"/>
      <c r="FT91" s="22"/>
      <c r="FU91" s="22"/>
      <c r="FV91" s="22"/>
      <c r="FW91" s="22"/>
      <c r="FX91" s="22"/>
      <c r="FY91" s="22"/>
      <c r="FZ91" s="22"/>
      <c r="GA91" s="22"/>
      <c r="GB91" s="22"/>
      <c r="GC91" s="22"/>
      <c r="GD91" s="22"/>
      <c r="GE91" s="22"/>
      <c r="GF91" s="22"/>
      <c r="GG91" s="22"/>
      <c r="GH91" s="22"/>
      <c r="GI91" s="22"/>
      <c r="GJ91" s="22"/>
      <c r="GK91" s="22"/>
      <c r="GL91" s="22"/>
      <c r="GM91" s="22"/>
      <c r="GN91" s="22"/>
      <c r="GO91" s="22"/>
      <c r="GP91" s="22"/>
      <c r="GQ91" s="22"/>
      <c r="GR91" s="22"/>
      <c r="GS91" s="22"/>
      <c r="GT91" s="22"/>
      <c r="GU91" s="22"/>
      <c r="GV91" s="22"/>
      <c r="GW91" s="22"/>
      <c r="GX91" s="22"/>
      <c r="GY91" s="22"/>
      <c r="GZ91" s="22"/>
      <c r="HA91" s="22"/>
      <c r="HB91" s="22"/>
      <c r="HC91" s="22"/>
      <c r="HD91" s="22"/>
      <c r="HE91" s="22"/>
      <c r="HF91" s="22"/>
      <c r="HG91" s="22"/>
      <c r="HH91" s="22"/>
      <c r="HI91" s="22"/>
      <c r="HJ91" s="22"/>
      <c r="HK91" s="22"/>
      <c r="HL91" s="22"/>
      <c r="HM91" s="22"/>
      <c r="HN91" s="22"/>
      <c r="HO91" s="22"/>
      <c r="HP91" s="22"/>
      <c r="HQ91" s="22"/>
      <c r="HR91" s="22"/>
      <c r="HS91" s="22"/>
      <c r="HT91" s="22"/>
      <c r="HU91" s="22"/>
      <c r="HV91" s="22"/>
      <c r="HW91" s="22"/>
      <c r="HX91" s="22"/>
      <c r="HY91" s="22"/>
      <c r="HZ91" s="22"/>
      <c r="IA91" s="22"/>
      <c r="IB91" s="22"/>
      <c r="IC91" s="22"/>
      <c r="ID91" s="22"/>
      <c r="IE91" s="22"/>
      <c r="IF91" s="22"/>
      <c r="IG91" s="22"/>
      <c r="IH91" s="22"/>
      <c r="II91" s="22"/>
      <c r="IJ91" s="22"/>
      <c r="IK91" s="22"/>
      <c r="IL91" s="22"/>
      <c r="IM91" s="22"/>
      <c r="IN91" s="22"/>
      <c r="IO91" s="22"/>
      <c r="IP91" s="22"/>
      <c r="IQ91" s="22"/>
      <c r="IR91" s="22"/>
      <c r="IS91" s="22"/>
      <c r="IT91" s="22"/>
      <c r="IU91" s="22"/>
      <c r="IV91" s="22"/>
      <c r="IW91" s="22"/>
      <c r="IX91" s="22"/>
      <c r="IY91" s="22"/>
      <c r="IZ91" s="22"/>
      <c r="JA91" s="22"/>
      <c r="JB91" s="22"/>
      <c r="JC91" s="22"/>
      <c r="JD91" s="22"/>
      <c r="JE91" s="22"/>
      <c r="JJ91" s="22"/>
      <c r="JK91" s="22"/>
      <c r="JL91" s="22"/>
      <c r="JM91" s="22"/>
      <c r="JN91" s="22"/>
      <c r="JO91" s="22"/>
      <c r="JP91" s="22"/>
      <c r="JQ91" s="22"/>
      <c r="JR91" s="22"/>
      <c r="JS91" s="22"/>
      <c r="JT91" s="22"/>
      <c r="JU91" s="22"/>
      <c r="JV91" s="22"/>
      <c r="JW91" s="22"/>
      <c r="JX91" s="22"/>
      <c r="JY91" s="22"/>
      <c r="JZ91" s="22"/>
      <c r="KA91" s="22"/>
      <c r="KB91" s="22"/>
      <c r="KC91" s="22"/>
      <c r="KD91" s="22"/>
      <c r="KE91" s="22"/>
      <c r="KF91" s="22"/>
      <c r="KG91" s="22"/>
      <c r="KH91" s="22"/>
      <c r="KI91" s="22"/>
      <c r="KJ91" s="22"/>
      <c r="KK91" s="22"/>
      <c r="KL91" s="22"/>
      <c r="KM91" s="22"/>
      <c r="KN91" s="22"/>
      <c r="KO91" s="22"/>
      <c r="KP91" s="22"/>
      <c r="KQ91" s="22"/>
      <c r="KR91" s="22"/>
      <c r="KS91" s="22"/>
      <c r="KT91" s="22"/>
      <c r="KU91" s="22"/>
      <c r="KV91" s="22"/>
      <c r="KW91" s="22"/>
      <c r="KX91" s="22"/>
      <c r="KY91" s="22"/>
      <c r="KZ91" s="22"/>
      <c r="LA91" s="22"/>
      <c r="LB91" s="22"/>
      <c r="LC91" s="22"/>
      <c r="LD91" s="22"/>
      <c r="LE91" s="22"/>
      <c r="LF91" s="22"/>
      <c r="LG91" s="22"/>
      <c r="LH91" s="22"/>
      <c r="LI91" s="22"/>
      <c r="LJ91" s="22"/>
      <c r="LK91" s="22"/>
      <c r="LL91" s="22"/>
      <c r="LM91" s="22"/>
      <c r="LN91" s="22"/>
      <c r="LO91" s="22"/>
      <c r="LP91" s="22"/>
      <c r="LQ91" s="22"/>
      <c r="LR91" s="22"/>
      <c r="LS91" s="22"/>
      <c r="LT91" s="22"/>
      <c r="LU91" s="22"/>
      <c r="LV91" s="22"/>
      <c r="LW91" s="22"/>
      <c r="LX91" s="22"/>
      <c r="LY91" s="22"/>
      <c r="LZ91" s="22"/>
      <c r="MA91" s="22"/>
      <c r="MB91" s="22"/>
      <c r="MC91" s="22"/>
      <c r="MD91" s="22"/>
      <c r="ME91" s="22"/>
      <c r="MF91" s="22"/>
      <c r="MG91" s="22"/>
      <c r="MH91" s="22"/>
      <c r="MI91" s="22"/>
      <c r="MJ91" s="22"/>
      <c r="MK91" s="22"/>
      <c r="ML91" s="22"/>
      <c r="MM91" s="22"/>
      <c r="MN91" s="22"/>
      <c r="MO91" s="22"/>
      <c r="MP91" s="22"/>
      <c r="MQ91" s="22"/>
      <c r="MR91" s="22"/>
      <c r="MS91" s="22"/>
      <c r="MT91" s="22"/>
      <c r="MU91" s="22"/>
      <c r="MV91" s="22"/>
      <c r="MW91" s="22"/>
      <c r="MX91" s="22"/>
      <c r="MY91" s="22"/>
      <c r="MZ91" s="22"/>
      <c r="NA91" s="22"/>
      <c r="NB91" s="22"/>
      <c r="NC91" s="22"/>
      <c r="ND91" s="22"/>
      <c r="NE91" s="22"/>
      <c r="NF91" s="22"/>
      <c r="NG91" s="22"/>
      <c r="NH91" s="22"/>
      <c r="NI91" s="22"/>
      <c r="NJ91" s="22"/>
      <c r="NK91" s="22"/>
      <c r="NL91" s="22"/>
      <c r="NM91" s="22"/>
      <c r="NN91" s="22"/>
      <c r="NO91" s="22"/>
      <c r="NP91" s="22"/>
      <c r="NQ91" s="22"/>
      <c r="NR91" s="22"/>
      <c r="NS91" s="22"/>
      <c r="NT91" s="22"/>
      <c r="NU91" s="22"/>
      <c r="NV91" s="22"/>
      <c r="NW91" s="22"/>
      <c r="NX91" s="22"/>
      <c r="NY91" s="22"/>
      <c r="NZ91" s="22"/>
      <c r="OA91" s="22"/>
      <c r="OB91" s="22"/>
      <c r="OC91" s="22"/>
      <c r="OD91" s="22"/>
      <c r="OE91" s="22"/>
      <c r="OF91" s="22"/>
      <c r="OG91" s="22"/>
      <c r="OH91" s="22"/>
      <c r="OI91" s="22"/>
      <c r="OJ91" s="22"/>
      <c r="OK91" s="22"/>
      <c r="OL91" s="22"/>
      <c r="OM91" s="22"/>
      <c r="ON91" s="22"/>
      <c r="OO91" s="22"/>
      <c r="OP91" s="22"/>
      <c r="OQ91" s="22"/>
      <c r="OR91" s="22"/>
      <c r="OS91" s="22"/>
      <c r="OT91" s="22"/>
      <c r="OU91" s="22"/>
      <c r="OV91" s="22"/>
      <c r="OW91" s="22"/>
      <c r="OX91" s="22"/>
      <c r="OY91" s="22"/>
      <c r="OZ91" s="22"/>
      <c r="PA91" s="22"/>
      <c r="PB91" s="22"/>
      <c r="PC91" s="22"/>
      <c r="PD91" s="22"/>
      <c r="PE91" s="22"/>
      <c r="PF91" s="22"/>
      <c r="PG91" s="22"/>
      <c r="PH91" s="22"/>
      <c r="PI91" s="22"/>
      <c r="PJ91" s="22"/>
      <c r="PK91" s="22"/>
      <c r="PL91" s="22"/>
      <c r="PM91" s="22"/>
      <c r="PN91" s="22"/>
      <c r="PO91" s="22"/>
      <c r="PP91" s="22"/>
      <c r="PQ91" s="22"/>
      <c r="PR91" s="22"/>
      <c r="PS91" s="22"/>
      <c r="PT91" s="22"/>
      <c r="PU91" s="22"/>
      <c r="PV91" s="22"/>
      <c r="PW91" s="22"/>
      <c r="PX91" s="22"/>
      <c r="PY91" s="22"/>
      <c r="PZ91" s="22"/>
      <c r="QA91" s="22"/>
      <c r="QB91" s="22"/>
      <c r="QC91" s="22"/>
      <c r="QD91" s="22"/>
      <c r="QE91" s="22"/>
      <c r="QF91" s="22"/>
      <c r="QG91" s="22"/>
      <c r="QH91" s="22"/>
      <c r="QI91" s="22"/>
      <c r="QJ91" s="22"/>
      <c r="QK91" s="22"/>
      <c r="QL91" s="22"/>
      <c r="QM91" s="22"/>
      <c r="QN91" s="22"/>
      <c r="QO91" s="22"/>
      <c r="QP91" s="22"/>
      <c r="QQ91" s="22"/>
      <c r="QR91" s="22"/>
      <c r="QS91" s="22"/>
      <c r="QT91" s="22"/>
      <c r="QU91" s="22"/>
      <c r="QV91" s="22"/>
      <c r="QW91" s="22"/>
      <c r="QX91" s="22"/>
      <c r="QY91" s="22"/>
      <c r="QZ91" s="22"/>
      <c r="RA91" s="22"/>
      <c r="RB91" s="22"/>
      <c r="RC91" s="22"/>
      <c r="RD91" s="22"/>
      <c r="RE91" s="22"/>
      <c r="RF91" s="22"/>
      <c r="RG91" s="22"/>
      <c r="RH91" s="22"/>
      <c r="RI91" s="22"/>
      <c r="RJ91" s="22"/>
      <c r="RK91" s="22"/>
      <c r="RL91" s="22"/>
      <c r="RM91" s="22"/>
      <c r="RN91" s="22"/>
      <c r="RO91" s="22"/>
      <c r="RP91" s="22"/>
      <c r="RQ91" s="22"/>
      <c r="RR91" s="22"/>
      <c r="RS91" s="22"/>
      <c r="RT91" s="22"/>
      <c r="RU91" s="22"/>
      <c r="RV91" s="22"/>
      <c r="RW91" s="22"/>
      <c r="RX91" s="22"/>
      <c r="RY91" s="22"/>
      <c r="RZ91" s="22"/>
      <c r="SA91" s="22"/>
      <c r="SB91" s="22"/>
      <c r="SC91" s="22"/>
      <c r="SD91" s="22"/>
      <c r="SE91" s="22"/>
      <c r="SF91" s="22"/>
      <c r="SG91" s="22"/>
      <c r="SH91" s="22"/>
      <c r="SI91" s="22"/>
      <c r="SJ91" s="22"/>
      <c r="SK91" s="22"/>
      <c r="SL91" s="22"/>
      <c r="SM91" s="22"/>
      <c r="SN91" s="22"/>
      <c r="SO91" s="22"/>
      <c r="SP91" s="22"/>
      <c r="SQ91" s="22"/>
      <c r="SR91" s="22"/>
      <c r="SS91" s="22"/>
      <c r="ST91" s="22"/>
      <c r="SU91" s="22"/>
      <c r="SV91" s="22"/>
      <c r="SW91" s="22"/>
      <c r="SX91" s="22"/>
      <c r="SY91" s="22"/>
      <c r="SZ91" s="22"/>
      <c r="TA91" s="22"/>
      <c r="TB91" s="22"/>
      <c r="TC91" s="22"/>
      <c r="TD91" s="22"/>
      <c r="TE91" s="22"/>
      <c r="TF91" s="22"/>
      <c r="TG91" s="22"/>
      <c r="TH91" s="22"/>
      <c r="TI91" s="22"/>
      <c r="TJ91" s="22"/>
      <c r="TK91" s="22"/>
      <c r="TL91" s="22"/>
      <c r="TM91" s="22"/>
      <c r="TN91" s="22"/>
      <c r="TO91" s="22"/>
      <c r="TP91" s="22"/>
      <c r="TQ91" s="22"/>
      <c r="TR91" s="22"/>
      <c r="TS91" s="22"/>
      <c r="TT91" s="22"/>
      <c r="TU91" s="22"/>
      <c r="TV91" s="22"/>
      <c r="TW91" s="22"/>
      <c r="TX91" s="22"/>
      <c r="TY91" s="22"/>
      <c r="TZ91" s="22"/>
      <c r="UA91" s="22"/>
      <c r="UB91" s="22"/>
      <c r="UC91" s="22"/>
      <c r="UD91" s="22"/>
      <c r="UE91" s="22"/>
      <c r="UF91" s="22"/>
      <c r="UG91" s="22"/>
      <c r="UH91" s="22"/>
      <c r="UI91" s="22"/>
      <c r="UJ91" s="22"/>
      <c r="UK91" s="22"/>
      <c r="UL91" s="22"/>
      <c r="UM91" s="22"/>
      <c r="UN91" s="22"/>
      <c r="UO91" s="22"/>
      <c r="UP91" s="22"/>
      <c r="UQ91" s="22"/>
      <c r="UR91" s="22"/>
      <c r="US91" s="22"/>
      <c r="UT91" s="22"/>
      <c r="UU91" s="22"/>
      <c r="UV91" s="22"/>
      <c r="UW91" s="22"/>
      <c r="UX91" s="22"/>
      <c r="UY91" s="22"/>
      <c r="UZ91" s="22"/>
      <c r="VA91" s="22"/>
      <c r="VB91" s="22"/>
      <c r="VC91" s="22"/>
      <c r="VD91" s="22"/>
      <c r="VE91" s="22"/>
      <c r="VF91" s="22"/>
      <c r="VG91" s="22"/>
      <c r="VH91" s="22"/>
      <c r="VI91" s="22"/>
      <c r="VJ91" s="22"/>
      <c r="VK91" s="22"/>
      <c r="VL91" s="22"/>
      <c r="VM91" s="22"/>
      <c r="VN91" s="22"/>
      <c r="VO91" s="22"/>
      <c r="VP91" s="22"/>
      <c r="VQ91" s="22"/>
      <c r="VR91" s="22"/>
      <c r="VS91" s="22"/>
      <c r="VT91" s="22"/>
      <c r="VU91" s="22"/>
      <c r="VV91" s="22"/>
      <c r="VW91" s="22"/>
      <c r="VX91" s="22"/>
      <c r="VY91" s="22"/>
      <c r="VZ91" s="22"/>
      <c r="WA91" s="22"/>
      <c r="WB91" s="22"/>
      <c r="WC91" s="22"/>
      <c r="WD91" s="22"/>
      <c r="WE91" s="22"/>
      <c r="WF91" s="22"/>
      <c r="WG91" s="22"/>
      <c r="WH91" s="22"/>
      <c r="WI91" s="22"/>
      <c r="WJ91" s="22"/>
      <c r="WK91" s="22"/>
      <c r="WL91" s="22"/>
      <c r="WM91" s="22"/>
      <c r="WN91" s="22"/>
      <c r="WO91" s="22"/>
      <c r="WP91" s="22"/>
      <c r="WQ91" s="22"/>
      <c r="WR91" s="22"/>
      <c r="WS91" s="22"/>
      <c r="WT91" s="22"/>
      <c r="WU91" s="22"/>
      <c r="WV91" s="22"/>
      <c r="WW91" s="22"/>
      <c r="WX91" s="22"/>
      <c r="WY91" s="22"/>
      <c r="WZ91" s="22"/>
      <c r="XA91" s="22"/>
      <c r="XB91" s="22"/>
      <c r="XC91" s="22"/>
      <c r="XD91" s="22"/>
      <c r="XE91" s="22"/>
      <c r="XF91" s="22"/>
      <c r="XG91" s="22"/>
      <c r="XH91" s="22"/>
      <c r="XI91" s="22"/>
      <c r="XJ91" s="22"/>
      <c r="XK91" s="22"/>
      <c r="XL91" s="22"/>
      <c r="XM91" s="22"/>
      <c r="XN91" s="22"/>
      <c r="XO91" s="22"/>
      <c r="XP91" s="22"/>
      <c r="XQ91" s="22"/>
      <c r="XR91" s="22"/>
      <c r="XS91" s="22"/>
      <c r="XT91" s="22"/>
      <c r="XU91" s="22"/>
      <c r="XV91" s="22"/>
      <c r="XW91" s="22"/>
      <c r="XX91" s="22"/>
      <c r="XY91" s="22"/>
      <c r="XZ91" s="22"/>
      <c r="YA91" s="22"/>
      <c r="YB91" s="22"/>
      <c r="YC91" s="22"/>
      <c r="YD91" s="22"/>
      <c r="YE91" s="22"/>
      <c r="YF91" s="22"/>
      <c r="YG91" s="22"/>
      <c r="YH91" s="22"/>
      <c r="YI91" s="22"/>
      <c r="YJ91" s="22"/>
      <c r="YK91" s="22"/>
      <c r="YL91" s="22"/>
      <c r="YM91" s="22"/>
      <c r="YN91" s="22"/>
      <c r="YO91" s="22"/>
      <c r="YP91" s="22"/>
      <c r="YQ91" s="22"/>
      <c r="YR91" s="22"/>
      <c r="YS91" s="22"/>
      <c r="YT91" s="22"/>
      <c r="YU91" s="22"/>
      <c r="YV91" s="22"/>
      <c r="YW91" s="22"/>
      <c r="YX91" s="22"/>
      <c r="YY91" s="22"/>
      <c r="YZ91" s="22"/>
      <c r="ZA91" s="22"/>
      <c r="ZB91" s="22"/>
      <c r="ZC91" s="22"/>
      <c r="ZD91" s="22"/>
      <c r="ZE91" s="22"/>
      <c r="ZF91" s="22"/>
      <c r="ZG91" s="22"/>
      <c r="ZH91" s="22"/>
      <c r="ZI91" s="22"/>
      <c r="ZJ91" s="22"/>
      <c r="ZK91" s="22"/>
      <c r="ZL91" s="22"/>
      <c r="ZM91" s="22"/>
      <c r="ZN91" s="22"/>
      <c r="ZO91" s="22"/>
      <c r="ZP91" s="22"/>
      <c r="ZQ91" s="22"/>
      <c r="ZR91" s="22"/>
      <c r="ZS91" s="22"/>
      <c r="ZT91" s="22"/>
      <c r="ZU91" s="22"/>
      <c r="ZV91" s="22"/>
      <c r="ZW91" s="22"/>
      <c r="ZX91" s="22"/>
      <c r="ZY91" s="22"/>
      <c r="ZZ91" s="22"/>
      <c r="AAA91" s="22"/>
      <c r="AAB91" s="22"/>
      <c r="AAC91" s="22"/>
      <c r="AAD91" s="22"/>
      <c r="AAE91" s="22"/>
      <c r="AAF91" s="22"/>
      <c r="AAG91" s="22"/>
      <c r="AAH91" s="22"/>
      <c r="AAI91" s="22"/>
      <c r="AAJ91" s="22"/>
      <c r="AAK91" s="22"/>
      <c r="AAL91" s="22"/>
      <c r="AAM91" s="22"/>
      <c r="AAN91" s="22"/>
      <c r="AAO91" s="22"/>
      <c r="AAP91" s="22"/>
      <c r="AAQ91" s="22"/>
      <c r="AAR91" s="22"/>
      <c r="AAS91" s="22"/>
      <c r="AAT91" s="22"/>
      <c r="AAU91" s="22"/>
      <c r="AAV91" s="22"/>
      <c r="AAW91" s="22"/>
      <c r="AAX91" s="22"/>
      <c r="AAY91" s="22"/>
      <c r="AAZ91" s="22"/>
      <c r="ABA91" s="22"/>
      <c r="ABB91" s="22"/>
      <c r="ABC91" s="22"/>
    </row>
    <row r="92" spans="4:731" ht="15" customHeight="1" x14ac:dyDescent="0.3">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c r="FJ92" s="22"/>
      <c r="FK92" s="22"/>
      <c r="FL92" s="22"/>
      <c r="FM92" s="22"/>
      <c r="FN92" s="22"/>
      <c r="FO92" s="22"/>
      <c r="FP92" s="22"/>
      <c r="FQ92" s="22"/>
      <c r="FR92" s="22"/>
      <c r="FS92" s="22"/>
      <c r="FT92" s="22"/>
      <c r="FU92" s="22"/>
      <c r="FV92" s="22"/>
      <c r="FW92" s="22"/>
      <c r="FX92" s="22"/>
      <c r="FY92" s="22"/>
      <c r="FZ92" s="22"/>
      <c r="GA92" s="22"/>
      <c r="GB92" s="22"/>
      <c r="GC92" s="22"/>
      <c r="GD92" s="22"/>
      <c r="GE92" s="22"/>
      <c r="GF92" s="22"/>
      <c r="GG92" s="22"/>
      <c r="GH92" s="22"/>
      <c r="GI92" s="22"/>
      <c r="GJ92" s="22"/>
      <c r="GK92" s="22"/>
      <c r="GL92" s="22"/>
      <c r="GM92" s="22"/>
      <c r="GN92" s="22"/>
      <c r="GO92" s="22"/>
      <c r="GP92" s="22"/>
      <c r="GQ92" s="22"/>
      <c r="GR92" s="22"/>
      <c r="GS92" s="22"/>
      <c r="GT92" s="22"/>
      <c r="GU92" s="22"/>
      <c r="GV92" s="22"/>
      <c r="GW92" s="22"/>
      <c r="GX92" s="22"/>
      <c r="GY92" s="22"/>
      <c r="GZ92" s="22"/>
      <c r="HA92" s="22"/>
      <c r="HB92" s="22"/>
      <c r="HC92" s="22"/>
      <c r="HD92" s="22"/>
      <c r="HE92" s="22"/>
      <c r="HF92" s="22"/>
      <c r="HG92" s="22"/>
      <c r="HH92" s="22"/>
      <c r="HI92" s="22"/>
      <c r="HJ92" s="22"/>
      <c r="HK92" s="22"/>
      <c r="HL92" s="22"/>
      <c r="HM92" s="22"/>
      <c r="HN92" s="22"/>
      <c r="HO92" s="22"/>
      <c r="HP92" s="22"/>
      <c r="HQ92" s="22"/>
      <c r="HR92" s="22"/>
      <c r="HS92" s="22"/>
      <c r="HT92" s="22"/>
      <c r="HU92" s="22"/>
      <c r="HV92" s="22"/>
      <c r="HW92" s="22"/>
      <c r="HX92" s="22"/>
      <c r="HY92" s="22"/>
      <c r="HZ92" s="22"/>
      <c r="IA92" s="22"/>
      <c r="IB92" s="22"/>
      <c r="IC92" s="22"/>
      <c r="ID92" s="22"/>
      <c r="IE92" s="22"/>
      <c r="IF92" s="22"/>
      <c r="IG92" s="22"/>
      <c r="IH92" s="22"/>
      <c r="II92" s="22"/>
      <c r="IJ92" s="22"/>
      <c r="IK92" s="22"/>
      <c r="IL92" s="22"/>
      <c r="IM92" s="22"/>
      <c r="IN92" s="22"/>
      <c r="IO92" s="22"/>
      <c r="IP92" s="22"/>
      <c r="IQ92" s="22"/>
      <c r="IR92" s="22"/>
      <c r="IS92" s="22"/>
      <c r="IT92" s="22"/>
      <c r="IU92" s="22"/>
      <c r="IV92" s="22"/>
      <c r="IW92" s="22"/>
      <c r="IX92" s="22"/>
      <c r="IY92" s="22"/>
      <c r="IZ92" s="22"/>
      <c r="JA92" s="22"/>
      <c r="JB92" s="22"/>
      <c r="JC92" s="22"/>
      <c r="JD92" s="22"/>
      <c r="JE92" s="22"/>
    </row>
    <row r="93" spans="4:731" ht="15" customHeight="1" x14ac:dyDescent="0.3">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c r="FJ93" s="22"/>
      <c r="FK93" s="22"/>
      <c r="FL93" s="22"/>
      <c r="FM93" s="22"/>
      <c r="FN93" s="22"/>
      <c r="FO93" s="22"/>
      <c r="FP93" s="22"/>
      <c r="FQ93" s="22"/>
      <c r="FR93" s="22"/>
      <c r="FS93" s="22"/>
      <c r="FT93" s="22"/>
      <c r="FU93" s="22"/>
      <c r="FV93" s="22"/>
      <c r="FW93" s="22"/>
      <c r="FX93" s="22"/>
      <c r="FY93" s="22"/>
      <c r="FZ93" s="22"/>
      <c r="GA93" s="22"/>
      <c r="GB93" s="22"/>
      <c r="GC93" s="22"/>
      <c r="GD93" s="22"/>
      <c r="GE93" s="22"/>
      <c r="GF93" s="22"/>
      <c r="GG93" s="22"/>
      <c r="GH93" s="22"/>
      <c r="GI93" s="22"/>
      <c r="GJ93" s="22"/>
      <c r="GK93" s="22"/>
      <c r="GL93" s="22"/>
      <c r="GM93" s="22"/>
      <c r="GN93" s="22"/>
      <c r="GO93" s="22"/>
      <c r="GP93" s="22"/>
      <c r="GQ93" s="22"/>
      <c r="GR93" s="22"/>
      <c r="GS93" s="22"/>
      <c r="GT93" s="22"/>
      <c r="GU93" s="22"/>
      <c r="GV93" s="22"/>
      <c r="GW93" s="22"/>
      <c r="GX93" s="22"/>
      <c r="GY93" s="22"/>
      <c r="GZ93" s="22"/>
      <c r="HA93" s="22"/>
      <c r="HB93" s="22"/>
      <c r="HC93" s="22"/>
      <c r="HD93" s="22"/>
      <c r="HE93" s="22"/>
      <c r="HF93" s="22"/>
      <c r="HG93" s="22"/>
      <c r="HH93" s="22"/>
      <c r="HI93" s="22"/>
      <c r="HJ93" s="22"/>
      <c r="HK93" s="22"/>
      <c r="HL93" s="22"/>
      <c r="HM93" s="22"/>
      <c r="HN93" s="22"/>
      <c r="HO93" s="22"/>
      <c r="HP93" s="22"/>
      <c r="HQ93" s="22"/>
      <c r="HR93" s="22"/>
      <c r="HS93" s="22"/>
      <c r="HT93" s="22"/>
      <c r="HU93" s="22"/>
      <c r="HV93" s="22"/>
      <c r="HW93" s="22"/>
      <c r="HX93" s="22"/>
      <c r="HY93" s="22"/>
      <c r="HZ93" s="22"/>
      <c r="IA93" s="22"/>
      <c r="IB93" s="22"/>
      <c r="IC93" s="22"/>
      <c r="ID93" s="22"/>
      <c r="IE93" s="22"/>
      <c r="IF93" s="22"/>
      <c r="IG93" s="22"/>
      <c r="IH93" s="22"/>
      <c r="II93" s="22"/>
      <c r="IJ93" s="22"/>
      <c r="IK93" s="22"/>
      <c r="IL93" s="22"/>
      <c r="IM93" s="22"/>
      <c r="IN93" s="22"/>
      <c r="IO93" s="22"/>
      <c r="IP93" s="22"/>
      <c r="IQ93" s="22"/>
      <c r="IR93" s="22"/>
      <c r="IS93" s="22"/>
      <c r="IT93" s="22"/>
      <c r="IU93" s="22"/>
      <c r="IV93" s="22"/>
      <c r="IW93" s="22"/>
      <c r="IX93" s="22"/>
      <c r="IY93" s="22"/>
      <c r="IZ93" s="22"/>
      <c r="JA93" s="22"/>
      <c r="JB93" s="22"/>
      <c r="JC93" s="22"/>
      <c r="JD93" s="22"/>
      <c r="JE93" s="22"/>
    </row>
    <row r="94" spans="4:731" ht="15" customHeight="1" x14ac:dyDescent="0.3">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c r="FO94" s="22"/>
      <c r="FP94" s="22"/>
      <c r="FQ94" s="22"/>
      <c r="FR94" s="22"/>
      <c r="FS94" s="22"/>
      <c r="FT94" s="22"/>
      <c r="FU94" s="22"/>
      <c r="FV94" s="22"/>
      <c r="FW94" s="22"/>
      <c r="FX94" s="22"/>
      <c r="FY94" s="22"/>
      <c r="FZ94" s="22"/>
      <c r="GA94" s="22"/>
      <c r="GB94" s="22"/>
      <c r="GC94" s="22"/>
      <c r="GD94" s="22"/>
      <c r="GE94" s="22"/>
      <c r="GF94" s="22"/>
      <c r="GG94" s="22"/>
      <c r="GH94" s="22"/>
      <c r="GI94" s="22"/>
      <c r="GJ94" s="22"/>
      <c r="GK94" s="22"/>
      <c r="GL94" s="22"/>
      <c r="GM94" s="22"/>
      <c r="GN94" s="22"/>
      <c r="GO94" s="22"/>
      <c r="GP94" s="22"/>
      <c r="GQ94" s="22"/>
      <c r="GR94" s="22"/>
      <c r="GS94" s="22"/>
      <c r="GT94" s="22"/>
      <c r="GU94" s="22"/>
      <c r="GV94" s="22"/>
      <c r="GW94" s="22"/>
      <c r="GX94" s="22"/>
      <c r="GY94" s="22"/>
      <c r="GZ94" s="22"/>
      <c r="HA94" s="22"/>
      <c r="HB94" s="22"/>
      <c r="HC94" s="22"/>
      <c r="HD94" s="22"/>
      <c r="HE94" s="22"/>
      <c r="HF94" s="22"/>
      <c r="HG94" s="22"/>
      <c r="HH94" s="22"/>
      <c r="HI94" s="22"/>
      <c r="HJ94" s="22"/>
      <c r="HK94" s="22"/>
      <c r="HL94" s="22"/>
      <c r="HM94" s="22"/>
      <c r="HN94" s="22"/>
      <c r="HO94" s="22"/>
      <c r="HP94" s="22"/>
      <c r="HQ94" s="22"/>
      <c r="HR94" s="22"/>
      <c r="HS94" s="22"/>
      <c r="HT94" s="22"/>
      <c r="HU94" s="22"/>
      <c r="HV94" s="22"/>
      <c r="HW94" s="22"/>
      <c r="HX94" s="22"/>
      <c r="HY94" s="22"/>
      <c r="HZ94" s="22"/>
      <c r="IA94" s="22"/>
      <c r="IB94" s="22"/>
      <c r="IC94" s="22"/>
      <c r="ID94" s="22"/>
      <c r="IE94" s="22"/>
      <c r="IF94" s="22"/>
      <c r="IG94" s="22"/>
      <c r="IH94" s="22"/>
      <c r="II94" s="22"/>
      <c r="IJ94" s="22"/>
      <c r="IK94" s="22"/>
      <c r="IL94" s="22"/>
      <c r="IM94" s="22"/>
      <c r="IN94" s="22"/>
      <c r="IO94" s="22"/>
      <c r="IP94" s="22"/>
      <c r="IQ94" s="22"/>
      <c r="IR94" s="22"/>
      <c r="IS94" s="22"/>
      <c r="IT94" s="22"/>
      <c r="IU94" s="22"/>
      <c r="IV94" s="22"/>
      <c r="IW94" s="22"/>
      <c r="IX94" s="22"/>
      <c r="IY94" s="22"/>
      <c r="IZ94" s="22"/>
      <c r="JA94" s="22"/>
      <c r="JB94" s="22"/>
      <c r="JC94" s="22"/>
      <c r="JD94" s="22"/>
      <c r="JE94" s="22"/>
    </row>
    <row r="95" spans="4:731" ht="15" customHeight="1" x14ac:dyDescent="0.3">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c r="FO95" s="22"/>
      <c r="FP95" s="22"/>
      <c r="FQ95" s="22"/>
      <c r="FR95" s="22"/>
      <c r="FS95" s="22"/>
      <c r="FT95" s="22"/>
      <c r="FU95" s="22"/>
      <c r="FV95" s="22"/>
      <c r="FW95" s="22"/>
      <c r="FX95" s="22"/>
      <c r="FY95" s="22"/>
      <c r="FZ95" s="22"/>
      <c r="GA95" s="22"/>
      <c r="GB95" s="22"/>
      <c r="GC95" s="22"/>
      <c r="GD95" s="22"/>
      <c r="GE95" s="22"/>
      <c r="GF95" s="22"/>
      <c r="GG95" s="22"/>
      <c r="GH95" s="22"/>
      <c r="GI95" s="22"/>
      <c r="GJ95" s="22"/>
      <c r="GK95" s="22"/>
      <c r="GL95" s="22"/>
      <c r="GM95" s="22"/>
      <c r="GN95" s="22"/>
      <c r="GO95" s="22"/>
      <c r="GP95" s="22"/>
      <c r="GQ95" s="22"/>
      <c r="GR95" s="22"/>
      <c r="GS95" s="22"/>
      <c r="GT95" s="22"/>
      <c r="GU95" s="22"/>
      <c r="GV95" s="22"/>
      <c r="GW95" s="22"/>
      <c r="GX95" s="22"/>
      <c r="GY95" s="22"/>
      <c r="GZ95" s="22"/>
      <c r="HA95" s="22"/>
      <c r="HB95" s="22"/>
      <c r="HC95" s="22"/>
      <c r="HD95" s="22"/>
      <c r="HE95" s="22"/>
      <c r="HF95" s="22"/>
      <c r="HG95" s="22"/>
      <c r="HH95" s="22"/>
      <c r="HI95" s="22"/>
      <c r="HJ95" s="22"/>
      <c r="HK95" s="22"/>
      <c r="HL95" s="22"/>
      <c r="HM95" s="22"/>
      <c r="HN95" s="22"/>
      <c r="HO95" s="22"/>
      <c r="HP95" s="22"/>
      <c r="HQ95" s="22"/>
      <c r="HR95" s="22"/>
      <c r="HS95" s="22"/>
      <c r="HT95" s="22"/>
      <c r="HU95" s="22"/>
      <c r="HV95" s="22"/>
      <c r="HW95" s="22"/>
      <c r="HX95" s="22"/>
      <c r="HY95" s="22"/>
      <c r="HZ95" s="22"/>
      <c r="IA95" s="22"/>
      <c r="IB95" s="22"/>
      <c r="IC95" s="22"/>
      <c r="ID95" s="22"/>
      <c r="IE95" s="22"/>
      <c r="IF95" s="22"/>
      <c r="IG95" s="22"/>
      <c r="IH95" s="22"/>
      <c r="II95" s="22"/>
      <c r="IJ95" s="22"/>
      <c r="IK95" s="22"/>
      <c r="IL95" s="22"/>
      <c r="IM95" s="22"/>
      <c r="IN95" s="22"/>
      <c r="IO95" s="22"/>
      <c r="IP95" s="22"/>
      <c r="IQ95" s="22"/>
      <c r="IR95" s="22"/>
      <c r="IS95" s="22"/>
      <c r="IT95" s="22"/>
      <c r="IU95" s="22"/>
      <c r="IV95" s="22"/>
      <c r="IW95" s="22"/>
      <c r="IX95" s="22"/>
      <c r="IY95" s="22"/>
      <c r="IZ95" s="22"/>
      <c r="JA95" s="22"/>
      <c r="JB95" s="22"/>
      <c r="JC95" s="22"/>
      <c r="JD95" s="22"/>
      <c r="JE95" s="22"/>
    </row>
    <row r="96" spans="4:731" ht="15" customHeight="1" x14ac:dyDescent="0.3">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c r="FO96" s="22"/>
      <c r="FP96" s="22"/>
      <c r="FQ96" s="22"/>
      <c r="FR96" s="22"/>
      <c r="FS96" s="22"/>
      <c r="FT96" s="22"/>
      <c r="FU96" s="22"/>
      <c r="FV96" s="22"/>
      <c r="FW96" s="22"/>
      <c r="FX96" s="22"/>
      <c r="FY96" s="22"/>
      <c r="FZ96" s="22"/>
      <c r="GA96" s="22"/>
      <c r="GB96" s="22"/>
      <c r="GC96" s="22"/>
      <c r="GD96" s="22"/>
      <c r="GE96" s="22"/>
      <c r="GF96" s="22"/>
      <c r="GG96" s="22"/>
      <c r="GH96" s="22"/>
      <c r="GI96" s="22"/>
      <c r="GJ96" s="22"/>
      <c r="GK96" s="22"/>
      <c r="GL96" s="22"/>
      <c r="GM96" s="22"/>
      <c r="GN96" s="22"/>
      <c r="GO96" s="22"/>
      <c r="GP96" s="22"/>
      <c r="GQ96" s="22"/>
      <c r="GR96" s="22"/>
      <c r="GS96" s="22"/>
      <c r="GT96" s="22"/>
      <c r="GU96" s="22"/>
      <c r="GV96" s="22"/>
      <c r="GW96" s="22"/>
      <c r="GX96" s="22"/>
      <c r="GY96" s="22"/>
      <c r="GZ96" s="22"/>
      <c r="HA96" s="22"/>
      <c r="HB96" s="22"/>
      <c r="HC96" s="22"/>
      <c r="HD96" s="22"/>
      <c r="HE96" s="22"/>
      <c r="HF96" s="22"/>
      <c r="HG96" s="22"/>
      <c r="HH96" s="22"/>
      <c r="HI96" s="22"/>
      <c r="HJ96" s="22"/>
      <c r="HK96" s="22"/>
      <c r="HL96" s="22"/>
      <c r="HM96" s="22"/>
      <c r="HN96" s="22"/>
      <c r="HO96" s="22"/>
      <c r="HP96" s="22"/>
      <c r="HQ96" s="22"/>
      <c r="HR96" s="22"/>
      <c r="HS96" s="22"/>
      <c r="HT96" s="22"/>
      <c r="HU96" s="22"/>
      <c r="HV96" s="22"/>
      <c r="HW96" s="22"/>
      <c r="HX96" s="22"/>
      <c r="HY96" s="22"/>
      <c r="HZ96" s="22"/>
      <c r="IA96" s="22"/>
      <c r="IB96" s="22"/>
      <c r="IC96" s="22"/>
      <c r="ID96" s="22"/>
      <c r="IE96" s="22"/>
      <c r="IF96" s="22"/>
      <c r="IG96" s="22"/>
      <c r="IH96" s="22"/>
      <c r="II96" s="22"/>
      <c r="IJ96" s="22"/>
      <c r="IK96" s="22"/>
      <c r="IL96" s="22"/>
      <c r="IM96" s="22"/>
      <c r="IN96" s="22"/>
      <c r="IO96" s="22"/>
      <c r="IP96" s="22"/>
      <c r="IQ96" s="22"/>
      <c r="IR96" s="22"/>
      <c r="IS96" s="22"/>
      <c r="IT96" s="22"/>
      <c r="IU96" s="22"/>
      <c r="IV96" s="22"/>
      <c r="IW96" s="22"/>
      <c r="IX96" s="22"/>
      <c r="IY96" s="22"/>
      <c r="IZ96" s="22"/>
      <c r="JA96" s="22"/>
      <c r="JB96" s="22"/>
      <c r="JC96" s="22"/>
      <c r="JD96" s="22"/>
      <c r="JE96" s="22"/>
    </row>
    <row r="97" spans="43:265" ht="15" customHeight="1" x14ac:dyDescent="0.3">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c r="FF97" s="22"/>
      <c r="FG97" s="22"/>
      <c r="FH97" s="22"/>
      <c r="FI97" s="22"/>
      <c r="FJ97" s="22"/>
      <c r="FK97" s="22"/>
      <c r="FL97" s="22"/>
      <c r="FM97" s="22"/>
      <c r="FN97" s="22"/>
      <c r="FO97" s="22"/>
      <c r="FP97" s="22"/>
      <c r="FQ97" s="22"/>
      <c r="FR97" s="22"/>
      <c r="FS97" s="22"/>
      <c r="FT97" s="22"/>
      <c r="FU97" s="22"/>
      <c r="FV97" s="22"/>
      <c r="FW97" s="22"/>
      <c r="FX97" s="22"/>
      <c r="FY97" s="22"/>
      <c r="FZ97" s="22"/>
      <c r="GA97" s="22"/>
      <c r="GB97" s="22"/>
      <c r="GC97" s="22"/>
      <c r="GD97" s="22"/>
      <c r="GE97" s="22"/>
      <c r="GF97" s="22"/>
      <c r="GG97" s="22"/>
      <c r="GH97" s="22"/>
      <c r="GI97" s="22"/>
      <c r="GJ97" s="22"/>
      <c r="GK97" s="22"/>
      <c r="GL97" s="22"/>
      <c r="GM97" s="22"/>
      <c r="GN97" s="22"/>
      <c r="GO97" s="22"/>
      <c r="GP97" s="22"/>
      <c r="GQ97" s="22"/>
      <c r="GR97" s="22"/>
      <c r="GS97" s="22"/>
      <c r="GT97" s="22"/>
      <c r="GU97" s="22"/>
      <c r="GV97" s="22"/>
      <c r="GW97" s="22"/>
      <c r="GX97" s="22"/>
      <c r="GY97" s="22"/>
      <c r="GZ97" s="22"/>
      <c r="HA97" s="22"/>
      <c r="HB97" s="22"/>
      <c r="HC97" s="22"/>
      <c r="HD97" s="22"/>
      <c r="HE97" s="22"/>
      <c r="HF97" s="22"/>
      <c r="HG97" s="22"/>
      <c r="HH97" s="22"/>
      <c r="HI97" s="22"/>
      <c r="HJ97" s="22"/>
      <c r="HK97" s="22"/>
      <c r="HL97" s="22"/>
      <c r="HM97" s="22"/>
      <c r="HN97" s="22"/>
      <c r="HO97" s="22"/>
      <c r="HP97" s="22"/>
      <c r="HQ97" s="22"/>
      <c r="HR97" s="22"/>
      <c r="HS97" s="22"/>
      <c r="HT97" s="22"/>
      <c r="HU97" s="22"/>
      <c r="HV97" s="22"/>
      <c r="HW97" s="22"/>
      <c r="HX97" s="22"/>
      <c r="HY97" s="22"/>
      <c r="HZ97" s="22"/>
      <c r="IA97" s="22"/>
      <c r="IB97" s="22"/>
      <c r="IC97" s="22"/>
      <c r="ID97" s="22"/>
      <c r="IE97" s="22"/>
      <c r="IF97" s="22"/>
      <c r="IG97" s="22"/>
      <c r="IH97" s="22"/>
      <c r="II97" s="22"/>
      <c r="IJ97" s="22"/>
      <c r="IK97" s="22"/>
      <c r="IL97" s="22"/>
      <c r="IM97" s="22"/>
      <c r="IN97" s="22"/>
      <c r="IO97" s="22"/>
      <c r="IP97" s="22"/>
      <c r="IQ97" s="22"/>
      <c r="IR97" s="22"/>
      <c r="IS97" s="22"/>
      <c r="IT97" s="22"/>
      <c r="IU97" s="22"/>
      <c r="IV97" s="22"/>
      <c r="IW97" s="22"/>
      <c r="IX97" s="22"/>
      <c r="IY97" s="22"/>
      <c r="IZ97" s="22"/>
      <c r="JA97" s="22"/>
      <c r="JB97" s="22"/>
      <c r="JC97" s="22"/>
      <c r="JD97" s="22"/>
      <c r="JE97" s="22"/>
    </row>
    <row r="98" spans="43:265" ht="15" customHeight="1" x14ac:dyDescent="0.3">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c r="FJ98" s="22"/>
      <c r="FK98" s="22"/>
      <c r="FL98" s="22"/>
      <c r="FM98" s="22"/>
      <c r="FN98" s="22"/>
      <c r="FO98" s="22"/>
      <c r="FP98" s="22"/>
      <c r="FQ98" s="22"/>
      <c r="FR98" s="22"/>
      <c r="FS98" s="22"/>
      <c r="FT98" s="22"/>
      <c r="FU98" s="22"/>
      <c r="FV98" s="22"/>
      <c r="FW98" s="22"/>
      <c r="FX98" s="22"/>
      <c r="FY98" s="22"/>
      <c r="FZ98" s="22"/>
      <c r="GA98" s="22"/>
      <c r="GB98" s="22"/>
      <c r="GC98" s="22"/>
      <c r="GD98" s="22"/>
      <c r="GE98" s="22"/>
      <c r="GF98" s="22"/>
      <c r="GG98" s="22"/>
      <c r="GH98" s="22"/>
      <c r="GI98" s="22"/>
      <c r="GJ98" s="22"/>
      <c r="GK98" s="22"/>
      <c r="GL98" s="22"/>
      <c r="GM98" s="22"/>
      <c r="GN98" s="22"/>
      <c r="GO98" s="22"/>
      <c r="GP98" s="22"/>
      <c r="GQ98" s="22"/>
      <c r="GR98" s="22"/>
      <c r="GS98" s="22"/>
      <c r="GT98" s="22"/>
      <c r="GU98" s="22"/>
      <c r="GV98" s="22"/>
      <c r="GW98" s="22"/>
      <c r="GX98" s="22"/>
      <c r="GY98" s="22"/>
      <c r="GZ98" s="22"/>
      <c r="HA98" s="22"/>
      <c r="HB98" s="22"/>
      <c r="HC98" s="22"/>
      <c r="HD98" s="22"/>
      <c r="HE98" s="22"/>
      <c r="HF98" s="22"/>
      <c r="HG98" s="22"/>
      <c r="HH98" s="22"/>
      <c r="HI98" s="22"/>
      <c r="HJ98" s="22"/>
      <c r="HK98" s="22"/>
      <c r="HL98" s="22"/>
      <c r="HM98" s="22"/>
      <c r="HN98" s="22"/>
      <c r="HO98" s="22"/>
      <c r="HP98" s="22"/>
      <c r="HQ98" s="22"/>
      <c r="HR98" s="22"/>
      <c r="HS98" s="22"/>
      <c r="HT98" s="22"/>
      <c r="HU98" s="22"/>
      <c r="HV98" s="22"/>
      <c r="HW98" s="22"/>
      <c r="HX98" s="22"/>
      <c r="HY98" s="22"/>
      <c r="HZ98" s="22"/>
      <c r="IA98" s="22"/>
      <c r="IB98" s="22"/>
      <c r="IC98" s="22"/>
      <c r="ID98" s="22"/>
      <c r="IE98" s="22"/>
      <c r="IF98" s="22"/>
      <c r="IG98" s="22"/>
      <c r="IH98" s="22"/>
      <c r="II98" s="22"/>
      <c r="IJ98" s="22"/>
      <c r="IK98" s="22"/>
      <c r="IL98" s="22"/>
      <c r="IM98" s="22"/>
      <c r="IN98" s="22"/>
      <c r="IO98" s="22"/>
      <c r="IP98" s="22"/>
      <c r="IQ98" s="22"/>
      <c r="IR98" s="22"/>
      <c r="IS98" s="22"/>
      <c r="IT98" s="22"/>
      <c r="IU98" s="22"/>
      <c r="IV98" s="22"/>
      <c r="IW98" s="22"/>
      <c r="IX98" s="22"/>
      <c r="IY98" s="22"/>
      <c r="IZ98" s="22"/>
      <c r="JA98" s="22"/>
      <c r="JB98" s="22"/>
      <c r="JC98" s="22"/>
      <c r="JD98" s="22"/>
      <c r="JE98" s="22"/>
    </row>
    <row r="99" spans="43:265" ht="15" customHeight="1" x14ac:dyDescent="0.3">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22"/>
      <c r="FL99" s="22"/>
      <c r="FM99" s="22"/>
      <c r="FN99" s="22"/>
      <c r="FO99" s="22"/>
      <c r="FP99" s="22"/>
      <c r="FQ99" s="22"/>
      <c r="FR99" s="22"/>
      <c r="FS99" s="22"/>
      <c r="FT99" s="22"/>
      <c r="FU99" s="22"/>
      <c r="FV99" s="22"/>
      <c r="FW99" s="22"/>
      <c r="FX99" s="22"/>
      <c r="FY99" s="22"/>
      <c r="FZ99" s="22"/>
      <c r="GA99" s="22"/>
      <c r="GB99" s="22"/>
      <c r="GC99" s="22"/>
      <c r="GD99" s="22"/>
      <c r="GE99" s="22"/>
      <c r="GF99" s="22"/>
      <c r="GG99" s="22"/>
      <c r="GH99" s="22"/>
      <c r="GI99" s="22"/>
      <c r="GJ99" s="22"/>
      <c r="GK99" s="22"/>
      <c r="GL99" s="22"/>
      <c r="GM99" s="22"/>
      <c r="GN99" s="22"/>
      <c r="GO99" s="22"/>
      <c r="GP99" s="22"/>
      <c r="GQ99" s="22"/>
      <c r="GR99" s="22"/>
      <c r="GS99" s="22"/>
      <c r="GT99" s="22"/>
      <c r="GU99" s="22"/>
      <c r="GV99" s="22"/>
      <c r="GW99" s="22"/>
      <c r="GX99" s="22"/>
      <c r="GY99" s="22"/>
      <c r="GZ99" s="22"/>
      <c r="HA99" s="22"/>
      <c r="HB99" s="22"/>
      <c r="HC99" s="22"/>
      <c r="HD99" s="22"/>
      <c r="HE99" s="22"/>
      <c r="HF99" s="22"/>
      <c r="HG99" s="22"/>
      <c r="HH99" s="22"/>
      <c r="HI99" s="22"/>
      <c r="HJ99" s="22"/>
      <c r="HK99" s="22"/>
      <c r="HL99" s="22"/>
      <c r="HM99" s="22"/>
      <c r="HN99" s="22"/>
      <c r="HO99" s="22"/>
      <c r="HP99" s="22"/>
      <c r="HQ99" s="22"/>
      <c r="HR99" s="22"/>
      <c r="HS99" s="22"/>
      <c r="HT99" s="22"/>
      <c r="HU99" s="22"/>
      <c r="HV99" s="22"/>
      <c r="HW99" s="22"/>
      <c r="HX99" s="22"/>
      <c r="HY99" s="22"/>
      <c r="HZ99" s="22"/>
      <c r="IA99" s="22"/>
      <c r="IB99" s="22"/>
      <c r="IC99" s="22"/>
      <c r="ID99" s="22"/>
      <c r="IE99" s="22"/>
      <c r="IF99" s="22"/>
      <c r="IG99" s="22"/>
      <c r="IH99" s="22"/>
      <c r="II99" s="22"/>
      <c r="IJ99" s="22"/>
      <c r="IK99" s="22"/>
      <c r="IL99" s="22"/>
      <c r="IM99" s="22"/>
      <c r="IN99" s="22"/>
      <c r="IO99" s="22"/>
      <c r="IP99" s="22"/>
      <c r="IQ99" s="22"/>
      <c r="IR99" s="22"/>
      <c r="IS99" s="22"/>
      <c r="IT99" s="22"/>
      <c r="IU99" s="22"/>
      <c r="IV99" s="22"/>
      <c r="IW99" s="22"/>
      <c r="IX99" s="22"/>
      <c r="IY99" s="22"/>
      <c r="IZ99" s="22"/>
      <c r="JA99" s="22"/>
      <c r="JB99" s="22"/>
      <c r="JC99" s="22"/>
      <c r="JD99" s="22"/>
      <c r="JE99" s="22"/>
    </row>
    <row r="100" spans="43:265" ht="15" customHeight="1" x14ac:dyDescent="0.3">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22"/>
      <c r="GV100" s="22"/>
      <c r="GW100" s="22"/>
      <c r="GX100" s="22"/>
      <c r="GY100" s="22"/>
      <c r="GZ100" s="22"/>
      <c r="HA100" s="22"/>
      <c r="HB100" s="22"/>
      <c r="HC100" s="22"/>
      <c r="HD100" s="22"/>
      <c r="HE100" s="22"/>
      <c r="HF100" s="22"/>
      <c r="HG100" s="22"/>
      <c r="HH100" s="22"/>
      <c r="HI100" s="22"/>
      <c r="HJ100" s="22"/>
      <c r="HK100" s="22"/>
      <c r="HL100" s="22"/>
      <c r="HM100" s="22"/>
      <c r="HN100" s="22"/>
      <c r="HO100" s="22"/>
      <c r="HP100" s="22"/>
      <c r="HQ100" s="22"/>
      <c r="HR100" s="22"/>
      <c r="HS100" s="22"/>
      <c r="HT100" s="22"/>
      <c r="HU100" s="22"/>
      <c r="HV100" s="22"/>
      <c r="HW100" s="22"/>
      <c r="HX100" s="22"/>
      <c r="HY100" s="22"/>
      <c r="HZ100" s="22"/>
      <c r="IA100" s="22"/>
      <c r="IB100" s="22"/>
      <c r="IC100" s="22"/>
      <c r="ID100" s="22"/>
      <c r="IE100" s="22"/>
      <c r="IF100" s="22"/>
      <c r="IG100" s="22"/>
      <c r="IH100" s="22"/>
      <c r="II100" s="22"/>
      <c r="IJ100" s="22"/>
      <c r="IK100" s="22"/>
      <c r="IL100" s="22"/>
      <c r="IM100" s="22"/>
      <c r="IN100" s="22"/>
      <c r="IO100" s="22"/>
      <c r="IP100" s="22"/>
      <c r="IQ100" s="22"/>
      <c r="IR100" s="22"/>
      <c r="IS100" s="22"/>
      <c r="IT100" s="22"/>
      <c r="IU100" s="22"/>
      <c r="IV100" s="22"/>
      <c r="IW100" s="22"/>
      <c r="IX100" s="22"/>
      <c r="IY100" s="22"/>
      <c r="IZ100" s="22"/>
      <c r="JA100" s="22"/>
      <c r="JB100" s="22"/>
      <c r="JC100" s="22"/>
      <c r="JD100" s="22"/>
      <c r="JE100" s="22"/>
    </row>
    <row r="101" spans="43:265" ht="15" customHeight="1" x14ac:dyDescent="0.3">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c r="FF101" s="22"/>
      <c r="FG101" s="22"/>
      <c r="FH101" s="22"/>
      <c r="FI101" s="22"/>
      <c r="FJ101" s="22"/>
      <c r="FK101" s="22"/>
      <c r="FL101" s="22"/>
      <c r="FM101" s="22"/>
      <c r="FN101" s="22"/>
      <c r="FO101" s="22"/>
      <c r="FP101" s="22"/>
      <c r="FQ101" s="22"/>
      <c r="FR101" s="22"/>
      <c r="FS101" s="22"/>
      <c r="FT101" s="22"/>
      <c r="FU101" s="22"/>
      <c r="FV101" s="22"/>
      <c r="FW101" s="22"/>
      <c r="FX101" s="22"/>
      <c r="FY101" s="22"/>
      <c r="FZ101" s="22"/>
      <c r="GA101" s="22"/>
      <c r="GB101" s="22"/>
      <c r="GC101" s="22"/>
      <c r="GD101" s="22"/>
      <c r="GE101" s="22"/>
      <c r="GF101" s="22"/>
      <c r="GG101" s="22"/>
      <c r="GH101" s="22"/>
      <c r="GI101" s="22"/>
      <c r="GJ101" s="22"/>
      <c r="GK101" s="22"/>
      <c r="GL101" s="22"/>
      <c r="GM101" s="22"/>
      <c r="GN101" s="22"/>
      <c r="GO101" s="22"/>
      <c r="GP101" s="22"/>
      <c r="GQ101" s="22"/>
      <c r="GR101" s="22"/>
      <c r="GS101" s="22"/>
      <c r="GT101" s="22"/>
      <c r="GU101" s="22"/>
      <c r="GV101" s="22"/>
      <c r="GW101" s="22"/>
      <c r="GX101" s="22"/>
      <c r="GY101" s="22"/>
      <c r="GZ101" s="22"/>
      <c r="HA101" s="22"/>
      <c r="HB101" s="22"/>
      <c r="HC101" s="22"/>
      <c r="HD101" s="22"/>
      <c r="HE101" s="22"/>
      <c r="HF101" s="22"/>
      <c r="HG101" s="22"/>
      <c r="HH101" s="22"/>
      <c r="HI101" s="22"/>
      <c r="HJ101" s="22"/>
      <c r="HK101" s="22"/>
      <c r="HL101" s="22"/>
      <c r="HM101" s="22"/>
      <c r="HN101" s="22"/>
      <c r="HO101" s="22"/>
      <c r="HP101" s="22"/>
      <c r="HQ101" s="22"/>
      <c r="HR101" s="22"/>
      <c r="HS101" s="22"/>
      <c r="HT101" s="22"/>
      <c r="HU101" s="22"/>
      <c r="HV101" s="22"/>
      <c r="HW101" s="22"/>
      <c r="HX101" s="22"/>
      <c r="HY101" s="22"/>
      <c r="HZ101" s="22"/>
      <c r="IA101" s="22"/>
      <c r="IB101" s="22"/>
      <c r="IC101" s="22"/>
      <c r="ID101" s="22"/>
      <c r="IE101" s="22"/>
      <c r="IF101" s="22"/>
      <c r="IG101" s="22"/>
      <c r="IH101" s="22"/>
      <c r="II101" s="22"/>
      <c r="IJ101" s="22"/>
      <c r="IK101" s="22"/>
      <c r="IL101" s="22"/>
      <c r="IM101" s="22"/>
      <c r="IN101" s="22"/>
      <c r="IO101" s="22"/>
      <c r="IP101" s="22"/>
      <c r="IQ101" s="22"/>
      <c r="IR101" s="22"/>
      <c r="IS101" s="22"/>
      <c r="IT101" s="22"/>
      <c r="IU101" s="22"/>
      <c r="IV101" s="22"/>
      <c r="IW101" s="22"/>
      <c r="IX101" s="22"/>
      <c r="IY101" s="22"/>
      <c r="IZ101" s="22"/>
      <c r="JA101" s="22"/>
      <c r="JB101" s="22"/>
      <c r="JC101" s="22"/>
      <c r="JD101" s="22"/>
      <c r="JE101" s="22"/>
    </row>
  </sheetData>
  <mergeCells count="30">
    <mergeCell ref="B44:B59"/>
    <mergeCell ref="E4:E5"/>
    <mergeCell ref="B34:B40"/>
    <mergeCell ref="AP34:AP38"/>
    <mergeCell ref="N4:O4"/>
    <mergeCell ref="R4:S4"/>
    <mergeCell ref="V4:W4"/>
    <mergeCell ref="AP4:AP5"/>
    <mergeCell ref="Z4:AC4"/>
    <mergeCell ref="AD4:AG4"/>
    <mergeCell ref="AH4:AK4"/>
    <mergeCell ref="AL4:AO4"/>
    <mergeCell ref="B4:B5"/>
    <mergeCell ref="B6:B28"/>
    <mergeCell ref="F4:I4"/>
    <mergeCell ref="J4:K4"/>
    <mergeCell ref="B29:B33"/>
    <mergeCell ref="D4:D5"/>
    <mergeCell ref="A4:A5"/>
    <mergeCell ref="A6:A8"/>
    <mergeCell ref="A10:A17"/>
    <mergeCell ref="A19:A24"/>
    <mergeCell ref="A26:A29"/>
    <mergeCell ref="A66:A69"/>
    <mergeCell ref="A72:A79"/>
    <mergeCell ref="A31:A32"/>
    <mergeCell ref="A34:A39"/>
    <mergeCell ref="A41:A42"/>
    <mergeCell ref="A44:A59"/>
    <mergeCell ref="A61:A62"/>
  </mergeCells>
  <phoneticPr fontId="21" type="noConversion"/>
  <pageMargins left="0.7" right="0.7" top="0.75" bottom="0.75" header="0.3" footer="0.3"/>
  <pageSetup orientation="portrait" r:id="rId1"/>
  <ignoredErrors>
    <ignoredError sqref="Q65 F9:G9 F71:I71 AL18:AM18 AL13 AL16" formula="1"/>
  </ignoredErrors>
  <extLst>
    <ext xmlns:x14="http://schemas.microsoft.com/office/spreadsheetml/2009/9/main" uri="{78C0D931-6437-407d-A8EE-F0AAD7539E65}">
      <x14:conditionalFormattings>
        <x14:conditionalFormatting xmlns:xm="http://schemas.microsoft.com/office/excel/2006/main">
          <x14:cfRule type="iconSet" priority="22" id="{45794C89-523A-4768-9808-F82E5FE8A8D3}">
            <x14:iconSet iconSet="3Triangles">
              <x14:cfvo type="percent">
                <xm:f>0</xm:f>
              </x14:cfvo>
              <x14:cfvo type="num">
                <xm:f>0</xm:f>
              </x14:cfvo>
              <x14:cfvo type="num">
                <xm:f>0</xm:f>
              </x14:cfvo>
            </x14:iconSet>
          </x14:cfRule>
          <xm:sqref>H7</xm:sqref>
        </x14:conditionalFormatting>
        <x14:conditionalFormatting xmlns:xm="http://schemas.microsoft.com/office/excel/2006/main">
          <x14:cfRule type="iconSet" priority="1" id="{9223A82C-8437-4438-A0C5-CD7A1BF81840}">
            <x14:iconSet iconSet="3Triangles">
              <x14:cfvo type="percent">
                <xm:f>0</xm:f>
              </x14:cfvo>
              <x14:cfvo type="num">
                <xm:f>0</xm:f>
              </x14:cfvo>
              <x14:cfvo type="num">
                <xm:f>0</xm:f>
              </x14:cfvo>
            </x14:iconSet>
          </x14:cfRule>
          <xm:sqref>H64</xm:sqref>
        </x14:conditionalFormatting>
        <x14:conditionalFormatting xmlns:xm="http://schemas.microsoft.com/office/excel/2006/main">
          <x14:cfRule type="iconSet" priority="20" id="{663F2A93-965D-4C19-8719-79CBEA22DCC7}">
            <x14:iconSet iconSet="3Triangles">
              <x14:cfvo type="percent">
                <xm:f>0</xm:f>
              </x14:cfvo>
              <x14:cfvo type="num">
                <xm:f>0</xm:f>
              </x14:cfvo>
              <x14:cfvo type="num">
                <xm:f>0</xm:f>
              </x14:cfvo>
            </x14:iconSet>
          </x14:cfRule>
          <xm:sqref>H68:H69</xm:sqref>
        </x14:conditionalFormatting>
        <x14:conditionalFormatting xmlns:xm="http://schemas.microsoft.com/office/excel/2006/main">
          <x14:cfRule type="iconSet" priority="85" id="{E0617157-2B10-4C00-A671-D2068D956C18}">
            <x14:iconSet iconSet="3Triangles">
              <x14:cfvo type="percent">
                <xm:f>0</xm:f>
              </x14:cfvo>
              <x14:cfvo type="num">
                <xm:f>0</xm:f>
              </x14:cfvo>
              <x14:cfvo type="num">
                <xm:f>0</xm:f>
              </x14:cfvo>
            </x14:iconSet>
          </x14:cfRule>
          <xm:sqref>H70 H6 H66:H67 H8:H62 H72:H80</xm:sqref>
        </x14:conditionalFormatting>
        <x14:conditionalFormatting xmlns:xm="http://schemas.microsoft.com/office/excel/2006/main">
          <x14:cfRule type="iconSet" priority="141" id="{FF69943E-3F1F-4EA7-99C1-D559FCE81435}">
            <x14:iconSet iconSet="3Triangles">
              <x14:cfvo type="percent">
                <xm:f>0</xm:f>
              </x14:cfvo>
              <x14:cfvo type="num">
                <xm:f>0</xm:f>
              </x14:cfvo>
              <x14:cfvo type="num">
                <xm:f>0</xm:f>
              </x14:cfvo>
            </x14:iconSet>
          </x14:cfRule>
          <xm:sqref>L6 L8 L72:L78 L10:L70</xm:sqref>
        </x14:conditionalFormatting>
        <x14:conditionalFormatting xmlns:xm="http://schemas.microsoft.com/office/excel/2006/main">
          <x14:cfRule type="iconSet" priority="24" id="{CFCD9E10-4FD5-4A34-A669-D6AD70A8029A}">
            <x14:iconSet iconSet="3Triangles">
              <x14:cfvo type="percent">
                <xm:f>0</xm:f>
              </x14:cfvo>
              <x14:cfvo type="num">
                <xm:f>0</xm:f>
              </x14:cfvo>
              <x14:cfvo type="num">
                <xm:f>0</xm:f>
              </x14:cfvo>
            </x14:iconSet>
          </x14:cfRule>
          <xm:sqref>L7</xm:sqref>
        </x14:conditionalFormatting>
        <x14:conditionalFormatting xmlns:xm="http://schemas.microsoft.com/office/excel/2006/main">
          <x14:cfRule type="iconSet" priority="14" id="{B22B9037-C87C-4E7D-B557-FB101D04ED7D}">
            <x14:iconSet iconSet="3Triangles">
              <x14:cfvo type="percent">
                <xm:f>0</xm:f>
              </x14:cfvo>
              <x14:cfvo type="num">
                <xm:f>0</xm:f>
              </x14:cfvo>
              <x14:cfvo type="num">
                <xm:f>0</xm:f>
              </x14:cfvo>
            </x14:iconSet>
          </x14:cfRule>
          <xm:sqref>L9</xm:sqref>
        </x14:conditionalFormatting>
        <x14:conditionalFormatting xmlns:xm="http://schemas.microsoft.com/office/excel/2006/main">
          <x14:cfRule type="iconSet" priority="7" id="{B1D18AC7-A260-412D-872D-6B26B576A2C8}">
            <x14:iconSet iconSet="3Triangles">
              <x14:cfvo type="percent">
                <xm:f>0</xm:f>
              </x14:cfvo>
              <x14:cfvo type="num">
                <xm:f>0</xm:f>
              </x14:cfvo>
              <x14:cfvo type="num">
                <xm:f>0</xm:f>
              </x14:cfvo>
            </x14:iconSet>
          </x14:cfRule>
          <xm:sqref>L79:L80</xm:sqref>
        </x14:conditionalFormatting>
        <x14:conditionalFormatting xmlns:xm="http://schemas.microsoft.com/office/excel/2006/main">
          <x14:cfRule type="iconSet" priority="145" id="{7DFDD438-B6D1-4924-ACF8-A5CC34839849}">
            <x14:iconSet iconSet="3Triangles">
              <x14:cfvo type="percent">
                <xm:f>0</xm:f>
              </x14:cfvo>
              <x14:cfvo type="num">
                <xm:f>0</xm:f>
              </x14:cfvo>
              <x14:cfvo type="num">
                <xm:f>0</xm:f>
              </x14:cfvo>
            </x14:iconSet>
          </x14:cfRule>
          <xm:sqref>P6 P8 P72:P78 P10:P70</xm:sqref>
        </x14:conditionalFormatting>
        <x14:conditionalFormatting xmlns:xm="http://schemas.microsoft.com/office/excel/2006/main">
          <x14:cfRule type="iconSet" priority="26" id="{F89EA916-9638-492B-AB50-89FC5D7B2AE4}">
            <x14:iconSet iconSet="3Triangles">
              <x14:cfvo type="percent">
                <xm:f>0</xm:f>
              </x14:cfvo>
              <x14:cfvo type="num">
                <xm:f>0</xm:f>
              </x14:cfvo>
              <x14:cfvo type="num">
                <xm:f>0</xm:f>
              </x14:cfvo>
            </x14:iconSet>
          </x14:cfRule>
          <xm:sqref>P7</xm:sqref>
        </x14:conditionalFormatting>
        <x14:conditionalFormatting xmlns:xm="http://schemas.microsoft.com/office/excel/2006/main">
          <x14:cfRule type="iconSet" priority="13" id="{558A0406-877C-4CEB-8C36-4063BA8FB67F}">
            <x14:iconSet iconSet="3Triangles">
              <x14:cfvo type="percent">
                <xm:f>0</xm:f>
              </x14:cfvo>
              <x14:cfvo type="num">
                <xm:f>0</xm:f>
              </x14:cfvo>
              <x14:cfvo type="num">
                <xm:f>0</xm:f>
              </x14:cfvo>
            </x14:iconSet>
          </x14:cfRule>
          <xm:sqref>P9</xm:sqref>
        </x14:conditionalFormatting>
        <x14:conditionalFormatting xmlns:xm="http://schemas.microsoft.com/office/excel/2006/main">
          <x14:cfRule type="iconSet" priority="6" id="{C67D7454-E6DB-4F35-894B-E9776EB50A9E}">
            <x14:iconSet iconSet="3Triangles">
              <x14:cfvo type="percent">
                <xm:f>0</xm:f>
              </x14:cfvo>
              <x14:cfvo type="num">
                <xm:f>0</xm:f>
              </x14:cfvo>
              <x14:cfvo type="num">
                <xm:f>0</xm:f>
              </x14:cfvo>
            </x14:iconSet>
          </x14:cfRule>
          <xm:sqref>P79:P80</xm:sqref>
        </x14:conditionalFormatting>
        <x14:conditionalFormatting xmlns:xm="http://schemas.microsoft.com/office/excel/2006/main">
          <x14:cfRule type="iconSet" priority="97" id="{ACAE1564-F677-40C7-8FCB-E6176877E7CE}">
            <x14:iconSet iconSet="3Triangles">
              <x14:cfvo type="percent">
                <xm:f>0</xm:f>
              </x14:cfvo>
              <x14:cfvo type="num">
                <xm:f>0</xm:f>
              </x14:cfvo>
              <x14:cfvo type="num">
                <xm:f>0</xm:f>
              </x14:cfvo>
            </x14:iconSet>
          </x14:cfRule>
          <xm:sqref>T6 T72:T78 T8:T70</xm:sqref>
        </x14:conditionalFormatting>
        <x14:conditionalFormatting xmlns:xm="http://schemas.microsoft.com/office/excel/2006/main">
          <x14:cfRule type="iconSet" priority="28" id="{8FF0CAEF-6381-46B9-A77E-EB4696DF4615}">
            <x14:iconSet iconSet="3Triangles">
              <x14:cfvo type="percent">
                <xm:f>0</xm:f>
              </x14:cfvo>
              <x14:cfvo type="num">
                <xm:f>0</xm:f>
              </x14:cfvo>
              <x14:cfvo type="num">
                <xm:f>0</xm:f>
              </x14:cfvo>
            </x14:iconSet>
          </x14:cfRule>
          <xm:sqref>T7</xm:sqref>
        </x14:conditionalFormatting>
        <x14:conditionalFormatting xmlns:xm="http://schemas.microsoft.com/office/excel/2006/main">
          <x14:cfRule type="iconSet" priority="5" id="{156D533D-5C60-4F2C-A5BC-BDD1265DA34E}">
            <x14:iconSet iconSet="3Triangles">
              <x14:cfvo type="percent">
                <xm:f>0</xm:f>
              </x14:cfvo>
              <x14:cfvo type="num">
                <xm:f>0</xm:f>
              </x14:cfvo>
              <x14:cfvo type="num">
                <xm:f>0</xm:f>
              </x14:cfvo>
            </x14:iconSet>
          </x14:cfRule>
          <xm:sqref>T79:T80</xm:sqref>
        </x14:conditionalFormatting>
        <x14:conditionalFormatting xmlns:xm="http://schemas.microsoft.com/office/excel/2006/main">
          <x14:cfRule type="iconSet" priority="100" id="{9D06E35B-033C-4E28-8121-ED9E6156ED11}">
            <x14:iconSet iconSet="3Triangles">
              <x14:cfvo type="percent">
                <xm:f>0</xm:f>
              </x14:cfvo>
              <x14:cfvo type="num">
                <xm:f>0</xm:f>
              </x14:cfvo>
              <x14:cfvo type="num">
                <xm:f>0</xm:f>
              </x14:cfvo>
            </x14:iconSet>
          </x14:cfRule>
          <xm:sqref>X6 X70 X72:X78 X8:X67</xm:sqref>
        </x14:conditionalFormatting>
        <x14:conditionalFormatting xmlns:xm="http://schemas.microsoft.com/office/excel/2006/main">
          <x14:cfRule type="iconSet" priority="30" id="{C60C56A8-F05A-4BD4-88D1-5CA326146A04}">
            <x14:iconSet iconSet="3Triangles">
              <x14:cfvo type="percent">
                <xm:f>0</xm:f>
              </x14:cfvo>
              <x14:cfvo type="num">
                <xm:f>0</xm:f>
              </x14:cfvo>
              <x14:cfvo type="num">
                <xm:f>0</xm:f>
              </x14:cfvo>
            </x14:iconSet>
          </x14:cfRule>
          <xm:sqref>X7</xm:sqref>
        </x14:conditionalFormatting>
        <x14:conditionalFormatting xmlns:xm="http://schemas.microsoft.com/office/excel/2006/main">
          <x14:cfRule type="iconSet" priority="16" id="{EE1E02F1-3B8B-458B-9561-EAC487E1BB44}">
            <x14:iconSet iconSet="3Triangles">
              <x14:cfvo type="percent">
                <xm:f>0</xm:f>
              </x14:cfvo>
              <x14:cfvo type="num">
                <xm:f>0</xm:f>
              </x14:cfvo>
              <x14:cfvo type="num">
                <xm:f>0</xm:f>
              </x14:cfvo>
            </x14:iconSet>
          </x14:cfRule>
          <xm:sqref>X68:X69</xm:sqref>
        </x14:conditionalFormatting>
        <x14:conditionalFormatting xmlns:xm="http://schemas.microsoft.com/office/excel/2006/main">
          <x14:cfRule type="iconSet" priority="4" id="{ABAD6B89-AB74-4DF1-BF16-CF93697E1365}">
            <x14:iconSet iconSet="3Triangles">
              <x14:cfvo type="percent">
                <xm:f>0</xm:f>
              </x14:cfvo>
              <x14:cfvo type="num">
                <xm:f>0</xm:f>
              </x14:cfvo>
              <x14:cfvo type="num">
                <xm:f>0</xm:f>
              </x14:cfvo>
            </x14:iconSet>
          </x14:cfRule>
          <xm:sqref>X79:X80</xm:sqref>
        </x14:conditionalFormatting>
        <x14:conditionalFormatting xmlns:xm="http://schemas.microsoft.com/office/excel/2006/main">
          <x14:cfRule type="iconSet" priority="103" id="{37CCDB6B-68F0-46A0-A83F-48F8CFC3CF5E}">
            <x14:iconSet iconSet="3Triangles">
              <x14:cfvo type="percent">
                <xm:f>0</xm:f>
              </x14:cfvo>
              <x14:cfvo type="num">
                <xm:f>0</xm:f>
              </x14:cfvo>
              <x14:cfvo type="num">
                <xm:f>0</xm:f>
              </x14:cfvo>
            </x14:iconSet>
          </x14:cfRule>
          <xm:sqref>AB6 AB70 AB72:AB78 AB8:AB67</xm:sqref>
        </x14:conditionalFormatting>
        <x14:conditionalFormatting xmlns:xm="http://schemas.microsoft.com/office/excel/2006/main">
          <x14:cfRule type="iconSet" priority="32" id="{6E20EDB6-C3F3-442A-ACEC-7C78F5F43256}">
            <x14:iconSet iconSet="3Triangles">
              <x14:cfvo type="percent">
                <xm:f>0</xm:f>
              </x14:cfvo>
              <x14:cfvo type="num">
                <xm:f>0</xm:f>
              </x14:cfvo>
              <x14:cfvo type="num">
                <xm:f>0</xm:f>
              </x14:cfvo>
            </x14:iconSet>
          </x14:cfRule>
          <xm:sqref>AB7</xm:sqref>
        </x14:conditionalFormatting>
        <x14:conditionalFormatting xmlns:xm="http://schemas.microsoft.com/office/excel/2006/main">
          <x14:cfRule type="iconSet" priority="15" id="{E598057D-5F48-42DE-B7D9-6CFDEDD16552}">
            <x14:iconSet iconSet="3Triangles">
              <x14:cfvo type="percent">
                <xm:f>0</xm:f>
              </x14:cfvo>
              <x14:cfvo type="num">
                <xm:f>0</xm:f>
              </x14:cfvo>
              <x14:cfvo type="num">
                <xm:f>0</xm:f>
              </x14:cfvo>
            </x14:iconSet>
          </x14:cfRule>
          <xm:sqref>AB68:AB69</xm:sqref>
        </x14:conditionalFormatting>
        <x14:conditionalFormatting xmlns:xm="http://schemas.microsoft.com/office/excel/2006/main">
          <x14:cfRule type="iconSet" priority="3" id="{A7EF12E8-52D9-4DA2-9730-DEE952627853}">
            <x14:iconSet iconSet="3Triangles">
              <x14:cfvo type="percent">
                <xm:f>0</xm:f>
              </x14:cfvo>
              <x14:cfvo type="num">
                <xm:f>0</xm:f>
              </x14:cfvo>
              <x14:cfvo type="num">
                <xm:f>0</xm:f>
              </x14:cfvo>
            </x14:iconSet>
          </x14:cfRule>
          <xm:sqref>AB79:AB80</xm:sqref>
        </x14:conditionalFormatting>
        <x14:conditionalFormatting xmlns:xm="http://schemas.microsoft.com/office/excel/2006/main">
          <x14:cfRule type="iconSet" priority="158" id="{50921653-6F73-4593-9519-DFF9DEA9D996}">
            <x14:iconSet iconSet="3Triangles">
              <x14:cfvo type="percent">
                <xm:f>0</xm:f>
              </x14:cfvo>
              <x14:cfvo type="num">
                <xm:f>0</xm:f>
              </x14:cfvo>
              <x14:cfvo type="num">
                <xm:f>0</xm:f>
              </x14:cfvo>
            </x14:iconSet>
          </x14:cfRule>
          <xm:sqref>AF6:AF80</xm:sqref>
        </x14:conditionalFormatting>
        <x14:conditionalFormatting xmlns:xm="http://schemas.microsoft.com/office/excel/2006/main">
          <x14:cfRule type="iconSet" priority="160" id="{EEB159C0-F068-4799-966C-4C2D3A2AB13F}">
            <x14:iconSet iconSet="3Triangles">
              <x14:cfvo type="percent">
                <xm:f>0</xm:f>
              </x14:cfvo>
              <x14:cfvo type="num">
                <xm:f>0</xm:f>
              </x14:cfvo>
              <x14:cfvo type="num">
                <xm:f>0</xm:f>
              </x14:cfvo>
            </x14:iconSet>
          </x14:cfRule>
          <xm:sqref>AJ6:AJ80</xm:sqref>
        </x14:conditionalFormatting>
        <x14:conditionalFormatting xmlns:xm="http://schemas.microsoft.com/office/excel/2006/main">
          <x14:cfRule type="iconSet" priority="162" id="{51328207-0B4E-46D6-B26B-B5B21839AC8F}">
            <x14:iconSet iconSet="3Triangles">
              <x14:cfvo type="percent">
                <xm:f>0</xm:f>
              </x14:cfvo>
              <x14:cfvo type="num">
                <xm:f>0</xm:f>
              </x14:cfvo>
              <x14:cfvo type="num">
                <xm:f>0</xm:f>
              </x14:cfvo>
            </x14:iconSet>
          </x14:cfRule>
          <xm:sqref>AN72:AN78 AN6:AN70</xm:sqref>
        </x14:conditionalFormatting>
        <x14:conditionalFormatting xmlns:xm="http://schemas.microsoft.com/office/excel/2006/main">
          <x14:cfRule type="iconSet" priority="2" id="{C85E3F9A-32DF-4F7A-B256-34A4E6F23420}">
            <x14:iconSet iconSet="3Triangles">
              <x14:cfvo type="percent">
                <xm:f>0</xm:f>
              </x14:cfvo>
              <x14:cfvo type="num">
                <xm:f>0</xm:f>
              </x14:cfvo>
              <x14:cfvo type="num">
                <xm:f>0</xm:f>
              </x14:cfvo>
            </x14:iconSet>
          </x14:cfRule>
          <xm:sqref>AN79:AN80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E742F168332042A8F1116FB9125846" ma:contentTypeVersion="11" ma:contentTypeDescription="Create a new document." ma:contentTypeScope="" ma:versionID="4ea777ac5c46172cf3664bae0392ffb6">
  <xsd:schema xmlns:xsd="http://www.w3.org/2001/XMLSchema" xmlns:xs="http://www.w3.org/2001/XMLSchema" xmlns:p="http://schemas.microsoft.com/office/2006/metadata/properties" xmlns:ns3="98976247-abe6-43c6-892a-a1dbb60fd46d" targetNamespace="http://schemas.microsoft.com/office/2006/metadata/properties" ma:root="true" ma:fieldsID="5fb70af7819bbf2c9d00b9511e832b78" ns3:_="">
    <xsd:import namespace="98976247-abe6-43c6-892a-a1dbb60fd46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76247-abe6-43c6-892a-a1dbb60fd46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8976247-abe6-43c6-892a-a1dbb60fd46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96ACC8-FD22-405D-8141-C7F9EA2ABC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76247-abe6-43c6-892a-a1dbb60fd4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234876-F9BF-4C07-9610-A44DDADCBC1E}">
  <ds:schemaRefs>
    <ds:schemaRef ds:uri="http://purl.org/dc/terms/"/>
    <ds:schemaRef ds:uri="http://schemas.microsoft.com/office/2006/documentManagement/types"/>
    <ds:schemaRef ds:uri="http://schemas.microsoft.com/office/2006/metadata/properties"/>
    <ds:schemaRef ds:uri="http://purl.org/dc/elements/1.1/"/>
    <ds:schemaRef ds:uri="http://purl.org/dc/dcmitype/"/>
    <ds:schemaRef ds:uri="http://schemas.openxmlformats.org/package/2006/metadata/core-properties"/>
    <ds:schemaRef ds:uri="http://www.w3.org/XML/1998/namespace"/>
    <ds:schemaRef ds:uri="http://schemas.microsoft.com/office/infopath/2007/PartnerControls"/>
    <ds:schemaRef ds:uri="98976247-abe6-43c6-892a-a1dbb60fd46d"/>
  </ds:schemaRefs>
</ds:datastoreItem>
</file>

<file path=customXml/itemProps3.xml><?xml version="1.0" encoding="utf-8"?>
<ds:datastoreItem xmlns:ds="http://schemas.openxmlformats.org/officeDocument/2006/customXml" ds:itemID="{7A3AD955-163D-49B5-9D1C-E569427202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Sherali Tissera</dc:creator>
  <cp:lastModifiedBy>Vihanga Ranaweera</cp:lastModifiedBy>
  <dcterms:created xsi:type="dcterms:W3CDTF">2025-03-21T05:14:50Z</dcterms:created>
  <dcterms:modified xsi:type="dcterms:W3CDTF">2026-01-05T09:43:14Z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0x010100A8E742F168332042A8F1116FB9125846</vt:lpwstr>
  </property>
</Properties>
</file>